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defaultThemeVersion="202300"/>
  <mc:AlternateContent xmlns:mc="http://schemas.openxmlformats.org/markup-compatibility/2006">
    <mc:Choice Requires="x15">
      <x15ac:absPath xmlns:x15ac="http://schemas.microsoft.com/office/spreadsheetml/2010/11/ac" url="/Users/weidadezhanghanwendaren/Desktop/"/>
    </mc:Choice>
  </mc:AlternateContent>
  <xr:revisionPtr revIDLastSave="0" documentId="13_ncr:1_{FE7C564A-7B17-C94D-B78E-6158365770E3}" xr6:coauthVersionLast="47" xr6:coauthVersionMax="47" xr10:uidLastSave="{00000000-0000-0000-0000-000000000000}"/>
  <bookViews>
    <workbookView xWindow="8680" yWindow="760" windowWidth="19720" windowHeight="17240" firstSheet="2" activeTab="4" xr2:uid="{4CF76907-340A-D34A-B7A1-2D472C0BF04D}"/>
  </bookViews>
  <sheets>
    <sheet name="Assumptions &amp; Sources" sheetId="1" r:id="rId1"/>
    <sheet name="Historical Financials" sheetId="2" r:id="rId2"/>
    <sheet name="Operating Forecast" sheetId="4" r:id="rId3"/>
    <sheet name="WACC" sheetId="5" r:id="rId4"/>
    <sheet name="DCF Valuation" sheetId="3" r:id="rId5"/>
    <sheet name="Sensitivity Analysis" sheetId="6" r:id="rId6"/>
    <sheet name="Model Audit" sheetId="7" r:id="rId7"/>
    <sheet name="Dashboard"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23" i="8" l="1"/>
  <c r="B24" i="8" s="1"/>
  <c r="B25" i="8" s="1"/>
  <c r="C23" i="8"/>
  <c r="C24" i="8"/>
  <c r="C25" i="8" s="1"/>
  <c r="B18" i="8"/>
  <c r="B19" i="8"/>
  <c r="B20" i="8" s="1"/>
  <c r="B4" i="8"/>
  <c r="B5" i="8"/>
  <c r="B6" i="8"/>
  <c r="B7" i="8"/>
  <c r="B8" i="8"/>
  <c r="B9" i="8"/>
  <c r="B10" i="8"/>
  <c r="B11" i="8"/>
  <c r="B12" i="8"/>
  <c r="B13" i="8"/>
  <c r="B14" i="8"/>
  <c r="B22" i="6"/>
  <c r="B23" i="6"/>
  <c r="B24" i="6"/>
  <c r="B25" i="6"/>
  <c r="B21" i="6"/>
  <c r="B4" i="6"/>
  <c r="B5" i="6"/>
  <c r="B38" i="3"/>
  <c r="B39" i="3"/>
  <c r="B41" i="3"/>
  <c r="B42" i="3"/>
  <c r="B43" i="3"/>
  <c r="B44" i="3"/>
  <c r="B46" i="3"/>
  <c r="B7" i="6" s="1"/>
  <c r="B48" i="3"/>
  <c r="B23" i="3"/>
  <c r="B11" i="3"/>
  <c r="C11" i="3"/>
  <c r="D11" i="3"/>
  <c r="E11" i="3"/>
  <c r="F11" i="3"/>
  <c r="B4" i="3"/>
  <c r="B15" i="7" s="1"/>
  <c r="B12" i="5"/>
  <c r="B42" i="5"/>
  <c r="B6" i="1" s="1"/>
  <c r="B32" i="5"/>
  <c r="B33" i="5"/>
  <c r="B34" i="5"/>
  <c r="B36" i="5"/>
  <c r="B38" i="5"/>
  <c r="B17" i="5" s="1"/>
  <c r="B5" i="5"/>
  <c r="B14" i="5"/>
  <c r="B15" i="4"/>
  <c r="D88" i="2"/>
  <c r="D11" i="4" s="1"/>
  <c r="D85" i="2"/>
  <c r="C85" i="2"/>
  <c r="C88" i="2" s="1"/>
  <c r="C11" i="4" s="1"/>
  <c r="B85" i="2"/>
  <c r="B88" i="2" s="1"/>
  <c r="B11" i="4" s="1"/>
  <c r="D84" i="2"/>
  <c r="D82" i="2"/>
  <c r="D81" i="2"/>
  <c r="D83" i="2" s="1"/>
  <c r="D87" i="2" s="1"/>
  <c r="D10" i="4" s="1"/>
  <c r="C84" i="2"/>
  <c r="C82" i="2"/>
  <c r="C81" i="2"/>
  <c r="C83" i="2" s="1"/>
  <c r="C87" i="2" s="1"/>
  <c r="C10" i="4" s="1"/>
  <c r="B84" i="2"/>
  <c r="B82" i="2"/>
  <c r="B81" i="2"/>
  <c r="B83" i="2" s="1"/>
  <c r="B87" i="2" s="1"/>
  <c r="B10" i="4" s="1"/>
  <c r="D79" i="2"/>
  <c r="C79" i="2"/>
  <c r="B79" i="2"/>
  <c r="D78" i="2"/>
  <c r="C78" i="2"/>
  <c r="B78" i="2"/>
  <c r="B72" i="2"/>
  <c r="D72" i="2"/>
  <c r="C72" i="2"/>
  <c r="D69" i="2"/>
  <c r="B35" i="5" s="1"/>
  <c r="B37" i="5" s="1"/>
  <c r="B18" i="5" s="1"/>
  <c r="B40" i="3" s="1"/>
  <c r="C69" i="2"/>
  <c r="B69" i="2"/>
  <c r="D66" i="2"/>
  <c r="C66" i="2"/>
  <c r="B66" i="2"/>
  <c r="D65" i="2"/>
  <c r="C65" i="2"/>
  <c r="B65" i="2"/>
  <c r="D64" i="2"/>
  <c r="C64" i="2"/>
  <c r="B64" i="2"/>
  <c r="B63" i="2"/>
  <c r="D63" i="2"/>
  <c r="C63" i="2"/>
  <c r="D61" i="2"/>
  <c r="C61" i="2"/>
  <c r="B61" i="2"/>
  <c r="D60" i="2"/>
  <c r="C60" i="2"/>
  <c r="B60" i="2"/>
  <c r="D59" i="2"/>
  <c r="C59" i="2"/>
  <c r="B59" i="2"/>
  <c r="D58" i="2"/>
  <c r="C58" i="2"/>
  <c r="B58" i="2"/>
  <c r="D50" i="2"/>
  <c r="C50" i="2"/>
  <c r="B50" i="2"/>
  <c r="D49" i="2"/>
  <c r="C49" i="2"/>
  <c r="C53" i="2" s="1"/>
  <c r="B49" i="2"/>
  <c r="B53" i="2" s="1"/>
  <c r="D48" i="2"/>
  <c r="C48" i="2"/>
  <c r="B48" i="2"/>
  <c r="D47" i="2"/>
  <c r="C47" i="2"/>
  <c r="B47" i="2"/>
  <c r="D46" i="2"/>
  <c r="C46" i="2"/>
  <c r="C52" i="2" s="1"/>
  <c r="C55" i="2" s="1"/>
  <c r="C89" i="2" s="1"/>
  <c r="B46" i="2"/>
  <c r="B52" i="2" s="1"/>
  <c r="D45" i="2"/>
  <c r="B36" i="3" s="1"/>
  <c r="C45" i="2"/>
  <c r="B45" i="2"/>
  <c r="C39" i="2"/>
  <c r="D41" i="2"/>
  <c r="C41" i="2"/>
  <c r="B41" i="2"/>
  <c r="D40" i="2"/>
  <c r="C40" i="2"/>
  <c r="B40" i="2"/>
  <c r="D39" i="2"/>
  <c r="B39" i="2"/>
  <c r="D32" i="2"/>
  <c r="C32" i="2"/>
  <c r="B32" i="2"/>
  <c r="D28" i="2"/>
  <c r="C28" i="2"/>
  <c r="B28" i="2"/>
  <c r="D24" i="2"/>
  <c r="C24" i="2"/>
  <c r="B24" i="2"/>
  <c r="D23" i="2"/>
  <c r="C23" i="2"/>
  <c r="B23" i="2"/>
  <c r="D19" i="2"/>
  <c r="C19" i="2"/>
  <c r="B19" i="2"/>
  <c r="D11" i="2"/>
  <c r="C11" i="2"/>
  <c r="B11" i="2"/>
  <c r="D10" i="2"/>
  <c r="C10" i="2"/>
  <c r="B10" i="2"/>
  <c r="D8" i="2"/>
  <c r="C8" i="2"/>
  <c r="B8" i="2"/>
  <c r="B7" i="2"/>
  <c r="B9" i="2" s="1"/>
  <c r="B16" i="2" s="1"/>
  <c r="C7" i="2"/>
  <c r="C15" i="4" s="1"/>
  <c r="D7" i="2"/>
  <c r="B37" i="3" s="1"/>
  <c r="B19" i="5" l="1"/>
  <c r="B6" i="5"/>
  <c r="B9" i="5" s="1"/>
  <c r="D67" i="2"/>
  <c r="D70" i="2" s="1"/>
  <c r="C23" i="4"/>
  <c r="C12" i="4" s="1"/>
  <c r="D15" i="3"/>
  <c r="D15" i="4"/>
  <c r="E15" i="4" s="1"/>
  <c r="B13" i="3"/>
  <c r="F11" i="6"/>
  <c r="C67" i="2"/>
  <c r="C70" i="2" s="1"/>
  <c r="E11" i="6"/>
  <c r="B10" i="7"/>
  <c r="B55" i="2"/>
  <c r="C11" i="6"/>
  <c r="D52" i="2"/>
  <c r="E15" i="3"/>
  <c r="D9" i="2"/>
  <c r="D53" i="2"/>
  <c r="B67" i="2"/>
  <c r="B70" i="2" s="1"/>
  <c r="D11" i="6"/>
  <c r="F15" i="3"/>
  <c r="B11" i="6"/>
  <c r="C15" i="3"/>
  <c r="B15" i="3"/>
  <c r="B20" i="5"/>
  <c r="B21" i="5" s="1"/>
  <c r="E16" i="4"/>
  <c r="E17" i="4"/>
  <c r="E18" i="4" s="1"/>
  <c r="C56" i="2"/>
  <c r="B42" i="2"/>
  <c r="B25" i="2"/>
  <c r="B9" i="4" s="1"/>
  <c r="C25" i="2"/>
  <c r="C9" i="4" s="1"/>
  <c r="D42" i="2"/>
  <c r="B12" i="2"/>
  <c r="C15" i="2"/>
  <c r="C7" i="4" s="1"/>
  <c r="D25" i="2"/>
  <c r="D9" i="4" s="1"/>
  <c r="C42" i="2"/>
  <c r="D16" i="2"/>
  <c r="D12" i="2"/>
  <c r="D15" i="2"/>
  <c r="D7" i="4" s="1"/>
  <c r="C9" i="2"/>
  <c r="B89" i="2" l="1"/>
  <c r="B23" i="4"/>
  <c r="B12" i="4" s="1"/>
  <c r="E22" i="4"/>
  <c r="E23" i="4"/>
  <c r="F15" i="4"/>
  <c r="E21" i="4"/>
  <c r="E26" i="4"/>
  <c r="B20" i="2"/>
  <c r="B16" i="4"/>
  <c r="D29" i="2"/>
  <c r="D31" i="2" s="1"/>
  <c r="D33" i="2" s="1"/>
  <c r="D16" i="4"/>
  <c r="B4" i="7" a="1"/>
  <c r="B4" i="7" s="1"/>
  <c r="D55" i="2"/>
  <c r="B8" i="7"/>
  <c r="B23" i="5"/>
  <c r="B5" i="3" s="1"/>
  <c r="E16" i="3" s="1"/>
  <c r="B13" i="2"/>
  <c r="B8" i="4" s="1"/>
  <c r="B29" i="2"/>
  <c r="B31" i="2"/>
  <c r="B33" i="2" s="1"/>
  <c r="B30" i="2"/>
  <c r="D30" i="2"/>
  <c r="C16" i="2"/>
  <c r="C12" i="2"/>
  <c r="D13" i="2"/>
  <c r="D8" i="4" s="1"/>
  <c r="D20" i="2"/>
  <c r="C16" i="3" l="1"/>
  <c r="D16" i="3"/>
  <c r="D56" i="2"/>
  <c r="D89" i="2"/>
  <c r="D23" i="4"/>
  <c r="D12" i="4" s="1"/>
  <c r="B3" i="6"/>
  <c r="B9" i="7"/>
  <c r="B32" i="3"/>
  <c r="F16" i="4"/>
  <c r="F17" i="4" s="1"/>
  <c r="F18" i="4" s="1"/>
  <c r="F21" i="4"/>
  <c r="F23" i="4"/>
  <c r="F24" i="4" s="1"/>
  <c r="F22" i="4"/>
  <c r="F26" i="4"/>
  <c r="G15" i="4"/>
  <c r="C29" i="2"/>
  <c r="C16" i="4"/>
  <c r="B16" i="3"/>
  <c r="F16" i="3"/>
  <c r="C30" i="2"/>
  <c r="C31" i="2"/>
  <c r="C33" i="2" s="1"/>
  <c r="C13" i="2"/>
  <c r="C8" i="4" s="1"/>
  <c r="C20" i="2"/>
  <c r="B5" i="7" s="1" a="1"/>
  <c r="B5" i="7" s="1"/>
  <c r="G21" i="4" l="1"/>
  <c r="G23" i="4"/>
  <c r="G24" i="4" s="1"/>
  <c r="G26" i="4"/>
  <c r="G22" i="4"/>
  <c r="H15" i="4"/>
  <c r="G16" i="4"/>
  <c r="F25" i="4"/>
  <c r="C12" i="3" s="1"/>
  <c r="C14" i="3" s="1"/>
  <c r="C17" i="3" s="1"/>
  <c r="A14" i="6"/>
  <c r="A15" i="6"/>
  <c r="A16" i="6"/>
  <c r="A12" i="6"/>
  <c r="A13" i="6"/>
  <c r="E24" i="4"/>
  <c r="E25" i="4" s="1"/>
  <c r="G17" i="4" l="1"/>
  <c r="G18" i="4"/>
  <c r="G25" i="4" s="1"/>
  <c r="H21" i="4"/>
  <c r="H23" i="4"/>
  <c r="H24" i="4" s="1"/>
  <c r="H22" i="4"/>
  <c r="H26" i="4"/>
  <c r="I15" i="4"/>
  <c r="H16" i="4"/>
  <c r="H17" i="4" s="1"/>
  <c r="H18" i="4" s="1"/>
  <c r="B12" i="3"/>
  <c r="B14" i="3" s="1"/>
  <c r="B17" i="3" s="1"/>
  <c r="D12" i="3" l="1"/>
  <c r="D14" i="3" s="1"/>
  <c r="I16" i="4"/>
  <c r="I17" i="4" s="1"/>
  <c r="I18" i="4" s="1"/>
  <c r="B8" i="6" s="1"/>
  <c r="B21" i="3"/>
  <c r="B22" i="3" s="1"/>
  <c r="I21" i="4"/>
  <c r="I23" i="4"/>
  <c r="I24" i="4" s="1"/>
  <c r="I22" i="4"/>
  <c r="I25" i="4" s="1"/>
  <c r="F12" i="3" s="1"/>
  <c r="F14" i="3" s="1"/>
  <c r="F17" i="3" s="1"/>
  <c r="I26" i="4"/>
  <c r="H25" i="4"/>
  <c r="E12" i="3" s="1"/>
  <c r="E14" i="3" s="1"/>
  <c r="E17" i="3" s="1"/>
  <c r="B24" i="3" l="1"/>
  <c r="B25" i="3" s="1"/>
  <c r="B26" i="3" s="1"/>
  <c r="B27" i="3" s="1"/>
  <c r="B7" i="7" a="1"/>
  <c r="B7" i="7" s="1"/>
  <c r="B16" i="7" a="1"/>
  <c r="B16" i="7" s="1"/>
  <c r="B6" i="7"/>
  <c r="D17" i="3"/>
  <c r="B29" i="3" s="1"/>
  <c r="B30" i="3" l="1"/>
  <c r="B35" i="3" s="1"/>
  <c r="B45" i="3" s="1"/>
  <c r="B31" i="3"/>
  <c r="B14" i="7" s="1"/>
  <c r="B47" i="3" l="1"/>
  <c r="B49" i="3" s="1"/>
  <c r="B6" i="6"/>
  <c r="B50" i="3"/>
  <c r="B13" i="6" l="1" a="1"/>
  <c r="B13" i="6" s="1"/>
  <c r="C13" i="6" a="1"/>
  <c r="C13" i="6" s="1"/>
  <c r="C12" i="6" a="1"/>
  <c r="C12" i="6" s="1"/>
  <c r="C15" i="6" a="1"/>
  <c r="C15" i="6" s="1"/>
  <c r="C14" i="6" a="1"/>
  <c r="C14" i="6" s="1"/>
  <c r="D16" i="6" a="1"/>
  <c r="D16" i="6" s="1"/>
  <c r="C16" i="6" a="1"/>
  <c r="C16" i="6" s="1"/>
  <c r="F15" i="6" a="1"/>
  <c r="F15" i="6" s="1"/>
  <c r="F12" i="6" a="1"/>
  <c r="F12" i="6" s="1"/>
  <c r="E16" i="6" a="1"/>
  <c r="E16" i="6" s="1"/>
  <c r="D12" i="6" a="1"/>
  <c r="D12" i="6" s="1"/>
  <c r="E14" i="6" a="1"/>
  <c r="E14" i="6" s="1"/>
  <c r="E15" i="6" a="1"/>
  <c r="E15" i="6" s="1"/>
  <c r="D14" i="6" a="1"/>
  <c r="D14" i="6" s="1"/>
  <c r="E12" i="6" a="1"/>
  <c r="E12" i="6" s="1"/>
  <c r="F14" i="6" a="1"/>
  <c r="F14" i="6" s="1"/>
  <c r="D13" i="6" a="1"/>
  <c r="D13" i="6" s="1"/>
  <c r="B15" i="6" a="1"/>
  <c r="B15" i="6" s="1"/>
  <c r="B16" i="6" a="1"/>
  <c r="B16" i="6" s="1"/>
  <c r="B14" i="6" a="1"/>
  <c r="B14" i="6" s="1"/>
  <c r="F13" i="6" a="1"/>
  <c r="F13" i="6" s="1"/>
  <c r="B12" i="6" a="1"/>
  <c r="B12" i="6" s="1"/>
  <c r="D15" i="6" a="1"/>
  <c r="D15" i="6" s="1"/>
  <c r="F16" i="6" a="1"/>
  <c r="F16" i="6" s="1"/>
  <c r="E13" i="6" a="1"/>
  <c r="E13" i="6" s="1"/>
  <c r="B18" i="6" l="1"/>
  <c r="B11" i="7"/>
  <c r="B12" i="7"/>
  <c r="B13" i="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<sst xmlns="http://schemas.openxmlformats.org/spreadsheetml/2006/main" count="420" uniqueCount="386">
  <si>
    <t>TSMC — DCF Valuation Model</t>
  </si>
  <si>
    <t>Model Setup</t>
  </si>
  <si>
    <t>Company</t>
  </si>
  <si>
    <t>Taiwan Semiconductor Manufacturing Company Limited</t>
  </si>
  <si>
    <t>Prepared by</t>
  </si>
  <si>
    <t>Eva Zhang</t>
  </si>
  <si>
    <t>Valuation Date</t>
  </si>
  <si>
    <t>Model Currency</t>
  </si>
  <si>
    <t>TWD</t>
  </si>
  <si>
    <t>Financial Statement Units</t>
  </si>
  <si>
    <t>TWD millions</t>
  </si>
  <si>
    <t>Valuation Method</t>
  </si>
  <si>
    <t>FCFF discounted at WACC</t>
  </si>
  <si>
    <t>Model Version</t>
  </si>
  <si>
    <t>v01</t>
  </si>
  <si>
    <t>Input Classification</t>
  </si>
  <si>
    <t>Historical Data</t>
  </si>
  <si>
    <t>Reported figures from official filings</t>
  </si>
  <si>
    <t>External Forecast</t>
  </si>
  <si>
    <t>Third-party estimates; identify source and publication date</t>
  </si>
  <si>
    <t>Own Assumption</t>
  </si>
  <si>
    <t>My forecast assumption; document supporting rationale</t>
  </si>
  <si>
    <t>Calculated Output</t>
  </si>
  <si>
    <t>Formula-derived result</t>
  </si>
  <si>
    <t>TSMC — Historical Financials</t>
  </si>
  <si>
    <t>Consolidated financial statements; TWD millions unless stated otherwise</t>
  </si>
  <si>
    <t>2023A</t>
  </si>
  <si>
    <t>2024A</t>
  </si>
  <si>
    <t>2025A</t>
  </si>
  <si>
    <t>Income Statement</t>
  </si>
  <si>
    <t>Revenue</t>
  </si>
  <si>
    <t>Cost of Revenue</t>
  </si>
  <si>
    <t>Gross Profit</t>
  </si>
  <si>
    <t>Operating Expenses</t>
  </si>
  <si>
    <t>EBIT / Operating Income</t>
  </si>
  <si>
    <t>Operating Margin</t>
  </si>
  <si>
    <t>Source Log</t>
  </si>
  <si>
    <t>Historical Financials!D7</t>
  </si>
  <si>
    <t>2025 consolidated Net Revenue; original: TWD thousands 3,809,054,272; model: divide by 1,000</t>
  </si>
  <si>
    <t>Document</t>
  </si>
  <si>
    <t>TSMC 2025 Consolidated Financial Statements</t>
  </si>
  <si>
    <t>Location</t>
  </si>
  <si>
    <t>PDF page 8 / printed page 7; NET REVENUE; 2025 column</t>
  </si>
  <si>
    <t>Authorized for Issue</t>
  </si>
  <si>
    <t>Accessed</t>
  </si>
  <si>
    <t>Source URL</t>
  </si>
  <si>
    <t>https://investor.tsmc.com/sites/ir/financial-report/2025/TSMC%202025Q4%20Consolidated%20Financial%20Statements_E_0.pdf?utm_source</t>
  </si>
  <si>
    <t>Revenue Growth</t>
  </si>
  <si>
    <t>Historical Financials!C7</t>
  </si>
  <si>
    <t>Same document and URL as above; PDF page 8 / printed page 7; NET REVENUE; 2024 column; original TWD thousands 2,894,307,699; divide by 1,000; accessed 2026-10-18</t>
  </si>
  <si>
    <t>Historical Financials!B7</t>
  </si>
  <si>
    <t>TSMC 2024 Consolidated Financial Statements; PDF page 8 / printed page 7; NET REVENUE; 2023 column; original TWD thousands 2,161,735,841; divide by 1,000; accessed 2026-10-18</t>
  </si>
  <si>
    <t>https://investor.tsmc.com/sites/ir/financial-report/2024/TSMC%202024Q4%20Consolidated%20Financial%20Statements_E.pdf?utm_source</t>
  </si>
  <si>
    <t>Historical Financials!B8</t>
  </si>
  <si>
    <t>2024 consolidated financial statements; URL in B29; PDF page 8 / printed page 7; COST OF REVENUE; 2023 column; original TWD thousands 986,625,213; divide by 1,000; accessed 2026-10-18</t>
  </si>
  <si>
    <t>Historical Financials!C8:D8</t>
  </si>
  <si>
    <t>2025 consolidated financial statements; URL in B24; PDF page 8 / printed page 7; COST OF REVENUE; 2024: 1,269,954,135; 2025: 1,527,760,293; TWD thousands; divide by 1,000; accessed 2026-10-18</t>
  </si>
  <si>
    <t>Gross Margin</t>
  </si>
  <si>
    <t>Historical Financials!B10</t>
  </si>
  <si>
    <t>2024 consolidated financial statements; URL in B29; PDF page 8 / printed page 7; Total operating expenses; 2023 column; original TWD thousands 253,833,716; divide by 1,000; accessed 2026-10-18</t>
  </si>
  <si>
    <t>Historical Financials!C10:D10</t>
  </si>
  <si>
    <t>2025 consolidated financial statements; URL in B24; PDF page 8 / printed page 7; Total operating expenses; 2024: 301,070,315; 2025: 345,649,630; TWD thousands; divide by 1,000; accessed 2026-10-18</t>
  </si>
  <si>
    <t>Other Operating Income / (Expenses), Net</t>
  </si>
  <si>
    <t>Historical Financials!B11</t>
  </si>
  <si>
    <t>2024 consolidated financial statements; URL in B29; PDF page 8 / printed page 7; OTHER OPERATING INCOME AND EXPENSES, NET; 2023: 188,694; TWD thousands; divide by 1,000; accessed 2026-10-18</t>
  </si>
  <si>
    <t>Historical Financials!C11:D11</t>
  </si>
  <si>
    <t>2025 consolidated financial statements; URL in B24; PDF page 8 / printed page 7; OTHER OPERATING INCOME AND EXPENSES, NET; 2024: -1,230,199; 2025: 447,328; TWD thousands; divide by 1,000; accessed 2026-10-18</t>
  </si>
  <si>
    <t>Model Checks</t>
  </si>
  <si>
    <t>Reported Operating Income</t>
  </si>
  <si>
    <t>Operating Income Difference</t>
  </si>
  <si>
    <t>Historical Financials!B19:D19</t>
  </si>
  <si>
    <t>INCOME FROM OPERATIONS; 2023: 921,465,606 from 2024 statements, URL in B29; 2024: 1,322,053,050 and 2025: 1,936,091,677 from 2025 statements, URL in B24; both PDF page 8 / printed page 7; TWD thousands; divide by 1,000; accessed 2026-10-18</t>
  </si>
  <si>
    <t>Historical Tax Analysis</t>
  </si>
  <si>
    <t>Income Before Income Tax</t>
  </si>
  <si>
    <t>Income Tax Expense</t>
  </si>
  <si>
    <t>Effective Tax Rate</t>
  </si>
  <si>
    <t>Historical Financials!B23:B24</t>
  </si>
  <si>
    <t>2024 consolidated financial statements; URL in B29; PDF page 8 / printed page 7; 2023 Income before income tax: 979,171,324; Income tax expense: 141,403,807; TWD thousands; divide by 1,000; accessed 2026-10-18</t>
  </si>
  <si>
    <t>Historical Financials!C23:D24</t>
  </si>
  <si>
    <t>2025 consolidated financial statements; URL in B24; PDF page 8 / printed page 7; EBT—2024: 1,405,838,635; 2025: 2,041,662,840; Income tax expense—2024: 233,406,876; 2025: 326,266,060; TWD thousands; divide by 1,000; accessed 2026-10-18</t>
  </si>
  <si>
    <t>Net Income Reconciliation</t>
  </si>
  <si>
    <t>Non-operating Income / (Expenses), Net</t>
  </si>
  <si>
    <t>Calculated Income Before Tax</t>
  </si>
  <si>
    <t>Income Before Tax Difference</t>
  </si>
  <si>
    <t>Consolidated Net Income</t>
  </si>
  <si>
    <t>Historical Financials!B28:D28</t>
  </si>
  <si>
    <t>Total non-operating income and expenses; 2023: 57,705,718 from 2024 statements, URL in B29; 2024: 83,785,585 and 2025: 105,571,163 from 2025 statements, URL in B24; both PDF page 8 / printed page 7; TWD thousands; divide by 1,000; accessed 2026-10-18</t>
  </si>
  <si>
    <t>Reported Consolidated Net Income</t>
  </si>
  <si>
    <t>Net Income Difference</t>
  </si>
  <si>
    <t>Historical Financials!B32:D32</t>
  </si>
  <si>
    <t>NET INCOME, consolidated total; 2023: 837,767,517 from 2024 statements, URL in B29; 2024: 1,172,431,759 and 2025: 1,715,396,780 from 2025 statements, URL in B24; both PDF page 8 / printed page 7; TWD thousands; divide by 1,000; accessed 2026-10-18</t>
  </si>
  <si>
    <t>Balance Sheet</t>
  </si>
  <si>
    <t>As of December 31; TWD millions</t>
  </si>
  <si>
    <t>Total Assets</t>
  </si>
  <si>
    <t>Total Liabilities</t>
  </si>
  <si>
    <t>Total Equity</t>
  </si>
  <si>
    <t>Balance Sheet Difference</t>
  </si>
  <si>
    <t>Historical Financials!B39:B41</t>
  </si>
  <si>
    <t>2024 consolidated financial statements; URL in B29; PDF page 7 / printed page 6; Dec 31, 2023; Total assets: 5,532,371,215; Total liabilities: 2,049,108,368; Total equity: 3,483,262,847; TWD thousands; divide by 1,000; accessed 2026-10-18</t>
  </si>
  <si>
    <t>Historical Financials!C39:D41</t>
  </si>
  <si>
    <t>2025 consolidated financial statements; URL in B24; PDF page 7 / printed page 6; Dec 31 balances; 2024 assets/liabilities/equity: 6,691,938,000 / 2,368,362,135 / 4,323,575,865; 2025: 7,933,023,878 / 2,472,228,595 / 5,460,795,283; TWD thousands; divide by 1,000; accessed 2026-10-18</t>
  </si>
  <si>
    <t>Selected Balance Sheet Items</t>
  </si>
  <si>
    <t>Cash and Cash Equivalents</t>
  </si>
  <si>
    <t>Historical Financials!B45:D45</t>
  </si>
  <si>
    <t>Cash and cash equivalents; 2023: 1,465,427,753 from 2024 statements, URL in B29; 2024: 2,127,627,043 and 2025: 2,767,856,402 from 2025 statements, URL in B24; both PDF page 7 / printed page 6; Dec 31 balances; TWD thousands; divide by 1,000; accessed 2026-10-18</t>
  </si>
  <si>
    <t>Notes and Accounts Receivable, Net</t>
  </si>
  <si>
    <t>Inventories</t>
  </si>
  <si>
    <t>Historical Financials!B46:B47</t>
  </si>
  <si>
    <t>2024 consolidated financial statements; URL in B29; PDF page 7 / printed page 6; Dec 31, 2023; Notes and accounts receivable, net: 201,313,914; Inventories: 250,997,088; TWD thousands; divide by 1,000; accessed 2026-10-18</t>
  </si>
  <si>
    <t>Historical Financials!C46:D47</t>
  </si>
  <si>
    <t>2025 consolidated financial statements; URL in B24; PDF page 7 / printed page 6; Dec 31 balances; Receivables—2024: 270,683,235; 2025: 279,051,553; Inventories—2024: 287,868,810; 2025: 288,109,485; TWD thousands; divide by 1,000; accessed 2026-10-18</t>
  </si>
  <si>
    <t>Receivables from Related Parties</t>
  </si>
  <si>
    <t>Accounts Payable</t>
  </si>
  <si>
    <t>Historical Financials!B48:B49</t>
  </si>
  <si>
    <t>2024 consolidated financial statements; URL in B29; PDF page 7 / printed page 6; Dec 31, 2023; Receivables from related parties: 624,451; Accounts payable: 55,726,757; TWD thousands; divide by 1,000; accessed 2026-10-18</t>
  </si>
  <si>
    <t>Historical Financials!C48:D49</t>
  </si>
  <si>
    <t>2025 consolidated financial statements; URL in B24; PDF page 7 / printed page 6; Dec 31 balances; Related-party receivables—2024: 1,404,473; 2025: 2,739,500; Accounts payable—2024: 72,800,558; 2025: 82,551,595; TWD thousands; divide by 1,000; accessed 2026-10-18</t>
  </si>
  <si>
    <t>Payables to Related Parties</t>
  </si>
  <si>
    <t>Historical Financials!B50:D50</t>
  </si>
  <si>
    <t>Payables to related parties; 2023: 1,566,300 from 2024 statements, URL in B29; 2024: 1,426,001 and 2025: 1,778,730 from 2025 statements, URL in B24; both PDF page 7 / printed page 6; Dec 31 balances; TWD thousands; divide by 1,000; accessed 2026-10-18</t>
  </si>
  <si>
    <t>Trade Receivables incl. Related Parties</t>
  </si>
  <si>
    <t>Trade Payables incl. Related Parties</t>
  </si>
  <si>
    <t>Classification — Related-party trade balances</t>
  </si>
  <si>
    <t>Treat Historical Financials rows 48 and 50 as operating trade balances. Supporting evidence: 2025 statements, Note 33, printed pages 75–77, and operating cash-flow presentation, printed page 10; URL in B24. Model classification judgment; other related-party receivables assessed separately. Accessed 2026-10-18.</t>
  </si>
  <si>
    <t>Trade Working Capital</t>
  </si>
  <si>
    <t>Change in Trade Working Capital</t>
  </si>
  <si>
    <t>Salary and Bonus Payable</t>
  </si>
  <si>
    <t>Accrued Employee Profit Sharing / Directors’ Compensation</t>
  </si>
  <si>
    <t>Historical Financials!B58:B59</t>
  </si>
  <si>
    <t>2024 consolidated financial statements; URL in B29; PDF page 7 / printed page 6; Dec 31, 2023; Salary and bonus payable: 33,200,563; Accrued profit sharing bonus to employees and compensation to directors: 50,716,944; TWD thousands; divide by 1,000; accessed 2026-10-18</t>
  </si>
  <si>
    <t>Historical Financials!C58:D59</t>
  </si>
  <si>
    <t>2025 consolidated financial statements; URL in B24; PDF page 7 / printed page 6; Dec 31 balances; Salary and bonus payable—2024: 47,451,509; 2025: 63,872,882; Accrued employee profit sharing and directors’ compensation—2024: 70,871,150; 2025: 103,355,278; TWD thousands; divide by 1,000; accessed 2026-10-18</t>
  </si>
  <si>
    <t>Other Current Assets — Reported</t>
  </si>
  <si>
    <t>Accrued Expenses &amp; Other Current Liabilities — Reported</t>
  </si>
  <si>
    <t>Historical Financials!B60:B61</t>
  </si>
  <si>
    <t>2024 consolidated financial statements; URL in B29; PDF page 7 / printed page 6; Dec 31, 2023; Other current assets: 26,222,380; Accrued expenses and other current liabilities: 296,667,931; TWD thousands; divide by 1,000; classification pending; accessed 2026-10-18</t>
  </si>
  <si>
    <t>Historical Financials!C60:D61</t>
  </si>
  <si>
    <t>2025 consolidated financial statements; URL in B24; PDF page 7 / printed page 6; Dec 31 balances; Other current assets—2024: 43,237,354; 2025: 118,664,431; Accrued expenses and other current liabilities—2024: 451,158,911; 2025: 401,124,156; TWD thousands; divide by 1,000; classification pending; accessed 2026-10-18</t>
  </si>
  <si>
    <t>Contract Liabilities — Included in Row 61</t>
  </si>
  <si>
    <t>Historical Financials!B63:D63</t>
  </si>
  <si>
    <t>2025 consolidated financial statements; URL in B24; Note 21(b), Contract balances; PDF page 57 / printed page 56; Jan 1, 2024 (= Dec 31, 2023): 52,736,430; Dec 31, 2024: 89,435,361; Dec 31, 2025: 49,954,384; TWD thousands; divide by 1,000; included in row 61, do not double count; accessed 2026-10-18</t>
  </si>
  <si>
    <t>Customer Temporary Receipts — Current</t>
  </si>
  <si>
    <t>Customer Temporary Receipts — Noncurrent</t>
  </si>
  <si>
    <t>Historical Financials!B64:B65</t>
  </si>
  <si>
    <t>2024 consolidated financial statements; URL in B29; Note 21(c); PDF page 53 / printed page 52; Dec 31, 2023; Customer temporary receipts—current: 114,639,514; noncurrent: 163,655,128; TWD thousands; divide by 1,000; current portion included in row 61; accessed 2026-10-18</t>
  </si>
  <si>
    <t>Historical Financials!C64:D65</t>
  </si>
  <si>
    <t>2025 consolidated financial statements; URL in B24; Note 21(c); PDF page 57 / printed page 56; Dec 31 balances; current—2024: 198,602,570; 2025: 146,559,275; noncurrent—2024: 92,499,262; 2025: 43,298,936; TWD thousands; divide by 1,000; current portion included in row 61; accessed 2026-10-18</t>
  </si>
  <si>
    <t>Refund Liabilities — Included in Row 61</t>
  </si>
  <si>
    <t>Historical Financials!B66</t>
  </si>
  <si>
    <t>2024 consolidated financial statements; URL in B29; Note 21(d), Refund liabilities; PDF page 53 / printed page 52; Dec 31, 2023: 37,847,605; TWD thousands; divide by 1,000; included in row 61; accessed 2026-10-18</t>
  </si>
  <si>
    <t>Historical Financials!C66:D66</t>
  </si>
  <si>
    <t>2025 consolidated financial statements; URL in B24; Note 21(d), Refund liabilities; PDF page 57 / printed page 56; Dec 31 balances: 2024: 63,185,197; 2025: 79,293,379; TWD thousands; divide by 1,000; included in row 61; accessed 2026-10-18</t>
  </si>
  <si>
    <t>Remaining Accrued &amp; Other Current Liabilities — Unclassified</t>
  </si>
  <si>
    <t>Current Lease Liabilities — Included in Row 61</t>
  </si>
  <si>
    <t>Historical Financials!B69</t>
  </si>
  <si>
    <t>2024 consolidated financial statements; URL in B29; Note 15(b), Lease liabilities; PDF page 37 / printed page 36; Dec 31, 2023 current portion: 2,810,551; TWD thousands; divide by 1,000; included in row 61; accessed 2026-10-18</t>
  </si>
  <si>
    <t>Historical Financials!C69:D69</t>
  </si>
  <si>
    <t>2025 consolidated financial statements; URL in B24; Note 15(b), Lease liabilities; PDF page 39 / printed page 38; current portion: 2024: 3,049,032; 2025: 3,833,015; TWD thousands; divide by 1,000; included in row 61; accessed 2026-10-18</t>
  </si>
  <si>
    <t>Remaining Unclassified Liabilities — Excluding Current Leases</t>
  </si>
  <si>
    <t>Payables to Contractors and Equipment Suppliers</t>
  </si>
  <si>
    <t>Historical Financials!B72</t>
  </si>
  <si>
    <t>2024 consolidated financial statements; URL in B29; PDF page 7 / printed page 6; Dec 31, 2023; Payables to contractors and equipment suppliers: 171,484,616; TWD thousands; divide by 1,000; separate from row 61; accessed 2026-10-18</t>
  </si>
  <si>
    <t>Historical Financials!C72:D72</t>
  </si>
  <si>
    <t>2025 consolidated financial statements; URL in B24; PDF page 7 / printed page 6; Payables to contractors and equipment suppliers: 2024: 192,635,173; 2025: 177,730,306; TWD thousands; divide by 1,000; separate from row 61; accessed 2026-10-18</t>
  </si>
  <si>
    <t>Historical CapEx Analysis</t>
  </si>
  <si>
    <t>For years ended December 31; TWD millions</t>
  </si>
  <si>
    <t>PP&amp;E Additions — Reported</t>
  </si>
  <si>
    <t>Cash Payments for PP&amp;E — Outflow Magnitude</t>
  </si>
  <si>
    <t>Historical Financials!B78:B79</t>
  </si>
  <si>
    <t>2024 consolidated financial statements; URL in B29; Note 30(a); PDF page 61 / printed page 60; 2023 PP&amp;E additions: 897,557,179; payments for acquisition of PP&amp;E: 949,816,825; TWD thousands; divide by 1,000; cash payments recorded as positive outflow magnitude; accessed 2026-10-18</t>
  </si>
  <si>
    <t>Historical Financials!C78:D79</t>
  </si>
  <si>
    <t>2025 consolidated financial statements; URL in B24; Note 30(a); PDF page 66 / printed page 65; PP&amp;E additions: 2024: 798,507,337; 2025: 1,160,977,750; payments for acquisition of PP&amp;E: 2024: 956,006,536; 2025: 1,272,410,529; TWD thousands; divide by 1,000; cash payments recorded as positive outflow magnitude; accessed 2026-10-18</t>
  </si>
  <si>
    <t>Depreciation — Reported</t>
  </si>
  <si>
    <t>Amortization — Reported</t>
  </si>
  <si>
    <t>Total D&amp;A — Reported</t>
  </si>
  <si>
    <t>Cash Payments for Intangibles — Outflow Magnitude</t>
  </si>
  <si>
    <t>Cash Investment in PP&amp;E &amp; Intangibles</t>
  </si>
  <si>
    <t>Reported D&amp;A / Revenue</t>
  </si>
  <si>
    <t>Cash Investment / Revenue</t>
  </si>
  <si>
    <t>Trade Working Capital / Revenue</t>
  </si>
  <si>
    <t>Historical Financials!B81:B82; B84</t>
  </si>
  <si>
    <t>2024 consolidated financial statements; URL in B29; Consolidated Statements of Cash Flows; PDF pages 11–12 / printed pages 11–12; 2023 depreciation: 522,932,671; amortization: 9,258,250; acquisitions of intangible assets: 5,518,414 (outflow magnitude); TWD thousands; divide by 1,000; accessed 2026-10-18</t>
  </si>
  <si>
    <t>Historical Financials!C81:D82; C84:D84</t>
  </si>
  <si>
    <t>2025 consolidated financial statements; URL in B24; Consolidated Statements of Cash Flows; PDF pages 11–12 / printed pages 10–11; depreciation: 2024: 653,610,486; 2025: 679,683,958; amortization: 2024: 9,186,149; 2025: 8,412,412; acquisitions of intangible assets: 2024: 8,875,660; 2025: 10,146,942 (outflow magnitude); TWD thousands; divide by 1,000; accessed 2026-10-18</t>
  </si>
  <si>
    <t>TSMC — Operating Forecast &amp; FCFF</t>
  </si>
  <si>
    <t>TWD millions; historical actuals and model forecasts</t>
  </si>
  <si>
    <t>2026E</t>
  </si>
  <si>
    <t>2027E</t>
  </si>
  <si>
    <t>2028E</t>
  </si>
  <si>
    <t>2029E</t>
  </si>
  <si>
    <t>2030E</t>
  </si>
  <si>
    <t>Operating Assumptions &amp; Historical Ratios</t>
  </si>
  <si>
    <t>EBIT Margin</t>
  </si>
  <si>
    <t>Operating Forecast</t>
  </si>
  <si>
    <t>EBIT</t>
  </si>
  <si>
    <t>Operating Tax Expense</t>
  </si>
  <si>
    <t>NOPAT</t>
  </si>
  <si>
    <t>Reinvestment &amp; FCFF</t>
  </si>
  <si>
    <t>D&amp;A — Model Basis</t>
  </si>
  <si>
    <t>Cash Investment — Model Basis</t>
  </si>
  <si>
    <t>Operating Working Capital — Model Basis</t>
  </si>
  <si>
    <t>Change in Operating Working Capital</t>
  </si>
  <si>
    <t>FCFF</t>
  </si>
  <si>
    <t>Tax Rate — Historical ETR / Forecast Operating Tax</t>
  </si>
  <si>
    <t>Operating Forecast!E7:I9 — Provisional Base Case Assumptions</t>
  </si>
  <si>
    <t>Model assumptions, not consensus estimates: revenue growth 30%, 24%, 20%, 15%, 10%; EBIT margin 52%, 52%, 51%, 50%, 49%; operating tax rate 17.5% throughout. Reference: TSMC 4Q25 earnings call, Jan 15, 2026, PDF pages 4–6: 2026 USD revenue growth close to 30%; 2026 ETR 17%–18%. Model assumes unchanged effective annual FX translation for 2026; later growth and margins are model judgments. ETR used as an operating-tax proxy. Historical valuation date and information cutoff pending verification. Accessed 2026-10-18.</t>
  </si>
  <si>
    <t>Management Reference URL</t>
  </si>
  <si>
    <t>https://investor.tsmc.com/english/encrypt/files/encrypt_file/reports/2026-01/51d09df96cd89ac19d65af39032b038dc2896a24/TSMC%204Q25%20Transcript.pdf?utm_source</t>
  </si>
  <si>
    <t>Less: New ROU Asset Investment — Lease Financing Basis</t>
  </si>
  <si>
    <t>New ROU Asset Investment / Revenue — Assumption</t>
  </si>
  <si>
    <t>Operating Forecast — Reinvestment Assumptions</t>
  </si>
  <si>
    <t>Own provisional assumptions, not company guidance: D&amp;A/revenue 16.5%,17%,18%,19%,20%; cash investment in PP&amp;E and intangibles/revenue 34.5%,34%,33%,32%,31%; new ROU asset investment/revenue 0.2% annually. Leases treated as financing: retain ROU depreciation add-back, deduct new ROU investment, and include lease liabilities in the equity bridge. Cash investment ratios require further validation.</t>
  </si>
  <si>
    <t>Operating Forecast — Selected Operating WC</t>
  </si>
  <si>
    <t>Selected operating WC = trade WC less salary and bonus payable, employee profit sharing/directors compensation, contract liabilities and refund liabilities. Forecast at 5% of revenue. Other excluded operating items, including customer temporary receipts, assumed to have zero net cash-flow contribution in v1; material limitation requiring validation. Balance-sheet changes approximate cash movements and may differ due to FX and noncash changes.</t>
  </si>
  <si>
    <t>Selected Operating WC / Revenue</t>
  </si>
  <si>
    <t>TSMC — WACC</t>
  </si>
  <si>
    <t>Currency: nominal TWD; market inputs pending verification</t>
  </si>
  <si>
    <t>Input / Calculation</t>
  </si>
  <si>
    <t>Value</t>
  </si>
  <si>
    <t>Cost of Equity</t>
  </si>
  <si>
    <t>Risk-Free Rate — TWD</t>
  </si>
  <si>
    <t>Levered Beta</t>
  </si>
  <si>
    <t>Equity Risk Premium</t>
  </si>
  <si>
    <t>Additional Country Risk Premium — if applicable</t>
  </si>
  <si>
    <t>Cost of Debt</t>
  </si>
  <si>
    <t>Pre-Tax Cost of Debt — TWD Equivalent</t>
  </si>
  <si>
    <t>Tax Shield Rate</t>
  </si>
  <si>
    <t>After-Tax Cost of Debt</t>
  </si>
  <si>
    <t>Capital Structure</t>
  </si>
  <si>
    <t>Equity Market Value — TWD millions</t>
  </si>
  <si>
    <t>Debt Value incl. Leases — TWD millions</t>
  </si>
  <si>
    <t>Equity Weight</t>
  </si>
  <si>
    <t>Debt Weight</t>
  </si>
  <si>
    <t>Weight Check</t>
  </si>
  <si>
    <t>WACC</t>
  </si>
  <si>
    <t>Supporting Inputs</t>
  </si>
  <si>
    <t>Taiwan 10Y Government Bond Auction Yield</t>
  </si>
  <si>
    <t>Taiwan Sovereign Default Spread — Estimate</t>
  </si>
  <si>
    <t>Semiconductor Unlevered Beta — Cash Adjusted, US Proxy</t>
  </si>
  <si>
    <t>WACC!B26 — Government Bond Yield</t>
  </si>
  <si>
    <t>Taiwan National Treasury Administration: auction Feb 5, 2026; release Feb 6, 2026; 10-year government bond highest accepted yield 1.425%. Dated reference proxy, not valuation-date secondary-market yield. Accessed 2026-10-18. https://www.nta.gov.tw/eng/singlehtml/2639?cntId=5bf4ab0ffd654f5ba54d50efbfe5264f</t>
  </si>
  <si>
    <t>WACC!B27; B7:B8; B13</t>
  </si>
  <si>
    <t>Damodaran country risk table, January 2026: Taiwan default spread 0.51%; CRP 0.78%; total ERP 5.01%; mature market ERP 4.23%. Use mature ERP plus separate CRP. Taiwan corporate tax 20% used as a simplifying marginal tax-shield proxy. Risk-free proxy subtracts estimated sovereign spread from dated TWD government yield. Accessed 2026-10-18. https://pages.stern.nyu.edu/adamodar/New_Home_Page/datafile/ctryprem.html</t>
  </si>
  <si>
    <t>WACC!B28; B6</t>
  </si>
  <si>
    <t>Damodaran US sector betas, January 2026, Semiconductor: cash-adjusted unlevered beta 1.50. US industry proxy, not a TSMC regression beta or pure foundry peer estimate. Relever using model D/E and tax-shield proxy; assumes negligible debt beta. Accessed 2026-10-18. https://pages.stern.nyu.edu/adamodar/New_Home_Page/datafile/Betas.html</t>
  </si>
  <si>
    <t>Capital Structure Supporting Data — Dec 31, 2025</t>
  </si>
  <si>
    <t>Current Portion of Long-Term Debt</t>
  </si>
  <si>
    <t>Noncurrent Bonds Payable</t>
  </si>
  <si>
    <t>Noncurrent Bank Loans</t>
  </si>
  <si>
    <t>Current Lease Liabilities</t>
  </si>
  <si>
    <t>Noncurrent Lease Liabilities</t>
  </si>
  <si>
    <t>Total Debt incl. Leases — Book Value Proxy</t>
  </si>
  <si>
    <t>Issued Common Shares — millions</t>
  </si>
  <si>
    <t>Common Share Price — TWD per share</t>
  </si>
  <si>
    <t>WACC!B32:B37 — Debt</t>
  </si>
  <si>
    <t>2025 consolidated financial statements; URL in B24; PDF page 7 / printed page 6; Dec 31, 2025: current portion of long-term liabilities 136,925,710; noncurrent bonds 856,227,503; noncurrent bank loans 39,834,496; noncurrent leases 31,594,992; current leases linked to Historical Financials!D69. TWD thousands converted to millions. Book debt used as a market-value proxy; includes leases.</t>
  </si>
  <si>
    <t>WACC!B38 — Common Shares</t>
  </si>
  <si>
    <t>2025 consolidated financial statements; URL in B24; Note 20(a); PDF page 51 / printed page 50; Dec 31, 2025 issued and paid common shares: 25,932,524 thousand shares; divide by 1,000 to obtain million shares. Year-end issued shares used provisionally; valuation-date shares and dilution require verification.</t>
  </si>
  <si>
    <t>Historical Case Valuation / Information Cutoff</t>
  </si>
  <si>
    <t>Corporate Credit Spread — Interpolated Proxy</t>
  </si>
  <si>
    <t>WACC!B40; B42 — Historical Case</t>
  </si>
  <si>
    <t>Historical case valuation/information cutoff: Feb 27, 2026. Reference common share closing price: TWD 1,995 on Feb 26, 2026, reported by CNA. TWSE historical page retrieval unsuccessful; price currently supported by secondary reporting. Dec 31, 2025 debt and share count used as provisional proxies; subsequent balance changes and dilution not yet verified. Accessed 2026-10-18. https://www.phototaiwan.com/Product?ImgID=20260226009200&amp;ImgSubID=202602260092000000</t>
  </si>
  <si>
    <t>WACC!B43; B12 — Debt Cost Proxy</t>
  </si>
  <si>
    <t>2025 financial statements Note 31: TSMC rated AA-/Aa3. Damodaran January 2026 corporate spread table: AA 0.55%, A+ 0.70%; own interpolation for AA- = 0.625%. TWD debt cost proxy = dated Taiwan government yield 1.425% + interpolated corporate spread 0.625% = 2.05%. Not a traded TSMC bond yield; no additional sovereign spread added. Accessed 2026-10-18. https://pages.stern.nyu.edu/adamodar/New_Home_Page/datafile/ratings.html</t>
  </si>
  <si>
    <t>Valuation Timing Convention</t>
  </si>
  <si>
    <t>Full 2025 financial statements confirmed filed with SEC on Feb 26, 2026. Historical case cutoff Feb 27, 2026 avoids assuming those statements were public at Dec 31, 2025. Risk inputs use dated January/February proxies rather than a fully synchronized market snapshot. DCF must adjust discount periods and the remaining 2026 cash flow for the valuation date.</t>
  </si>
  <si>
    <t>TSMC — DCF Valuation</t>
  </si>
  <si>
    <t>TWD millions unless stated otherwise; historical case</t>
  </si>
  <si>
    <t>Valuation Inputs</t>
  </si>
  <si>
    <t>Terminal Growth Rate — Own Assumption</t>
  </si>
  <si>
    <t>Terminal ROIC — Own Assumption</t>
  </si>
  <si>
    <t>Forecast Year</t>
  </si>
  <si>
    <t>Cash Flow Date</t>
  </si>
  <si>
    <t>Full-Year FCFF</t>
  </si>
  <si>
    <t>Remaining Cash Flow Share</t>
  </si>
  <si>
    <t>FCFF After Valuation Date</t>
  </si>
  <si>
    <t>Discount Period — Years</t>
  </si>
  <si>
    <t>Discount Factor</t>
  </si>
  <si>
    <t>Present Value of FCFF</t>
  </si>
  <si>
    <t>Terminal Value &amp; Enterprise Value</t>
  </si>
  <si>
    <t>2031 Revenue</t>
  </si>
  <si>
    <t>2031 Normalized NOPAT</t>
  </si>
  <si>
    <t>Terminal Reinvestment Rate</t>
  </si>
  <si>
    <t>2031 Net Reinvestment</t>
  </si>
  <si>
    <t>2031 Normalized FCFF</t>
  </si>
  <si>
    <t>Terminal Value at Dec 31, 2030</t>
  </si>
  <si>
    <t>Present Value of Terminal Value</t>
  </si>
  <si>
    <t>Present Value of Explicit FCFF</t>
  </si>
  <si>
    <t>Enterprise Value</t>
  </si>
  <si>
    <t>Terminal Value / Enterprise Value</t>
  </si>
  <si>
    <t>WACC &gt; Terminal Growth Check</t>
  </si>
  <si>
    <t>DCF — Timing Assumptions</t>
  </si>
  <si>
    <t>Valuation Feb 27, 2026. Remaining 2026 FCFF prorated by remaining calendar days, assuming uniform annual generation; later years included in full. Year-end cash-flow convention; actual days/365 discount periods. Simplification does not capture seasonality or actual interim cash flows.</t>
  </si>
  <si>
    <t>DCF — Terminal Assumptions</t>
  </si>
  <si>
    <t>Own provisional assumptions: nominal TWD terminal growth 3%; terminal ROIC 15%; 2031 margin and operating tax rate held at 2030 levels. Terminal reinvestment rate = g/ROIC = 20%; normalized FCFF = NOPAT*(1-g/ROIC). Net reinvestment includes all operating reinvestment on the model lease basis. Requires sensitivity testing and validation of transition to steady state.</t>
  </si>
  <si>
    <t>Required Operating Cash / 2025 Revenue — Own Assumption</t>
  </si>
  <si>
    <t>Enterprise Value to Common Equity — Provisional Bridge</t>
  </si>
  <si>
    <t>Add: Cash &amp; Cash Equivalents — Dec 2025</t>
  </si>
  <si>
    <t>Less: Required Operating Cash — Assumption</t>
  </si>
  <si>
    <t>Add: Selected Financial Investments — Carrying Value</t>
  </si>
  <si>
    <t>Add: Equity-Method Investments — Book Value Proxy</t>
  </si>
  <si>
    <t>Less: Debt incl. Leases</t>
  </si>
  <si>
    <t>Less: Noncontrolling Interests — Book Value Proxy</t>
  </si>
  <si>
    <t>Less: Cash Dividends Payable</t>
  </si>
  <si>
    <t>Less: Financial &amp; Hedging Liabilities</t>
  </si>
  <si>
    <t>Less: Net Defined Benefit Liability</t>
  </si>
  <si>
    <t>Common Equity Value — Provisional</t>
  </si>
  <si>
    <t>Common Shares — millions</t>
  </si>
  <si>
    <t>Implied Value per Common Share — TWD</t>
  </si>
  <si>
    <t>Reference Market Price — TWD</t>
  </si>
  <si>
    <t>Implied Upside / Downside</t>
  </si>
  <si>
    <t>Bridge Check</t>
  </si>
  <si>
    <t>DCF — Equity Bridge Historical Inputs</t>
  </si>
  <si>
    <t>2025 consolidated financial statements; URL in B24; PDF page 7 / printed page 6. Dec 31, 2025 inputs, TWD thousands: FVTPL assets current/noncurrent 100,200/15,032,128; FVOCI 175,692,690/8,797,170; amortized cost assets 124,945,519/110,507,804; equity-method investments 38,033,271; NCI 41,199,289; dividends payable 285,258,060; FVTPL financial liabilities 3,083,883; hedging liabilities 817; net defined benefit liability 6,012,286. Divide by 1,000; cash and debt linked to existing sourced cells. Accessed 2026-10-18.</t>
  </si>
  <si>
    <t>DCF — Equity Bridge Judgments</t>
  </si>
  <si>
    <t>Provisional bridge uses Dec 31, 2025 balances as proxies for Feb 27, 2026; no interim balance roll-forward. Required operating cash assumed at 2% of 2025 revenue. Selected financial investments classified as nonoperating; equity-method investments and NCI valued at book proxies. Deduct existing dividends payable, financial/hedging liabilities and net defined benefit liability. Other potential adjustments, tax leakage, asset restrictions, dilution and pension/FCFF consistency require review. Not a fully verified price target.</t>
  </si>
  <si>
    <t>TSMC — Valuation Sensitivity</t>
  </si>
  <si>
    <t>Output: TWD per common share; provisional historical case</t>
  </si>
  <si>
    <t>Base WACC</t>
  </si>
  <si>
    <t>Base Terminal Growth</t>
  </si>
  <si>
    <t>Terminal ROIC</t>
  </si>
  <si>
    <t>Net Equity Bridge Adjustment</t>
  </si>
  <si>
    <t>2030 NOPAT</t>
  </si>
  <si>
    <t>WACC / Terminal Growth</t>
  </si>
  <si>
    <t>Center Cell Difference — Should Be Zero</t>
  </si>
  <si>
    <t>Value per Common Share</t>
  </si>
  <si>
    <t>TSMC — Model Audit</t>
  </si>
  <si>
    <t>Formula checks do not establish forecast validity</t>
  </si>
  <si>
    <t>Check</t>
  </si>
  <si>
    <t>Result</t>
  </si>
  <si>
    <t>Historical Balance Sheet Balances</t>
  </si>
  <si>
    <t>Historical EBIT Reconciliation</t>
  </si>
  <si>
    <t>Five Forecast FCFF Values Present</t>
  </si>
  <si>
    <t>FCFF Arithmetic Reconciliation</t>
  </si>
  <si>
    <t>Capital Weights Sum to 100%</t>
  </si>
  <si>
    <t>WACC Exceeds Terminal Growth</t>
  </si>
  <si>
    <t>Positive Share Count</t>
  </si>
  <si>
    <t>Sensitivity Center Matches DCF</t>
  </si>
  <si>
    <t>Sensitivity Matrix Has 25 Numeric Outputs</t>
  </si>
  <si>
    <t>Terminal ROIC Base Matches DCF</t>
  </si>
  <si>
    <t>Terminal Value Concentration</t>
  </si>
  <si>
    <t>Valuation Date Matches WACC</t>
  </si>
  <si>
    <t>Forecast Formula Errors</t>
  </si>
  <si>
    <t>Judgment / Research Review</t>
  </si>
  <si>
    <t>Status</t>
  </si>
  <si>
    <t>Forecast assumptions and management guidance reconciliation</t>
  </si>
  <si>
    <t>OPEN — provisional assumptions require further support</t>
  </si>
  <si>
    <t>Operating WC exclusions, especially customer temporary receipts</t>
  </si>
  <si>
    <t>OPEN — test cash-flow impact</t>
  </si>
  <si>
    <t>Feb 2026 equity bridge versus Dec 2025 balance sheet</t>
  </si>
  <si>
    <t>OPEN — interim roll-forward not completed</t>
  </si>
  <si>
    <t>Industry beta and dated WACC proxies</t>
  </si>
  <si>
    <t>OPEN — assess comparability and input timing</t>
  </si>
  <si>
    <t>Terminal transition and ROIC</t>
  </si>
  <si>
    <t>OPEN — abrupt normalization requires review</t>
  </si>
  <si>
    <t>Financial investments, NCI and associate valuation proxies</t>
  </si>
  <si>
    <t>OPEN — book values may differ from economic values</t>
  </si>
  <si>
    <t>Common share dilution and ADR conversion</t>
  </si>
  <si>
    <t>OPEN — verify before final presentation</t>
  </si>
  <si>
    <t>TSMC — DCF Valuation Summary</t>
  </si>
  <si>
    <t>Provisional historical case — not a current price target</t>
  </si>
  <si>
    <t>Metric</t>
  </si>
  <si>
    <t>Terminal Growth Rate</t>
  </si>
  <si>
    <t>Enterprise Value — TWD millions</t>
  </si>
  <si>
    <t>Equity Value — TWD millions</t>
  </si>
  <si>
    <t>Implied Value — TWD per common share</t>
  </si>
  <si>
    <t>Reference Market Price — TWD per common share</t>
  </si>
  <si>
    <t>Terminal Transition Check</t>
  </si>
  <si>
    <t>2030 FCFF — TWD millions</t>
  </si>
  <si>
    <t>2031 Terminal FCFF — TWD millions</t>
  </si>
  <si>
    <t>FCFF Growth into Terminal Year</t>
  </si>
  <si>
    <t>Reinvestment Transition</t>
  </si>
  <si>
    <t>2031 Terminal</t>
  </si>
  <si>
    <t>Net Reinvestment</t>
  </si>
  <si>
    <t>Net Reinvestment / NOPAT</t>
  </si>
  <si>
    <t>Model Limitations / Outstanding Review</t>
  </si>
  <si>
    <t>Terminal transition</t>
  </si>
  <si>
    <t>OPEN — Net reinvestment / NOPAT falls from 28.83% in 2030 to 20.00% in 2031; transition requires support.</t>
  </si>
  <si>
    <t>Equity bridge timing</t>
  </si>
  <si>
    <t>OPEN — December 2025 balance sheet amounts have not been rolled forward to the February 2026 valuation date.</t>
  </si>
  <si>
    <t>Operating working capital</t>
  </si>
  <si>
    <t>OPEN — Selected accounts are modeled; excluded operating balances may affect FCFF.</t>
  </si>
  <si>
    <t>WACC assumptions</t>
  </si>
  <si>
    <t>OPEN — Industry beta and estimated credit spread are proxies requiring further validation.</t>
  </si>
  <si>
    <t>Interpretation</t>
  </si>
  <si>
    <t>Provisional historical valuation exercise; the output does not establish a current investment recommendation.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</si>
</sst>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
    <numFmt numFmtId="165" formatCode="yyyy\-mm\-dd"/>
    <numFmt numFmtId="166" formatCode="0.0%"/>
    <numFmt numFmtId="167" formatCode="0.000"/>
    <numFmt numFmtId="168" formatCode="0.000%"/>
    <numFmt numFmtId="169" formatCode="0.0000"/>
    <numFmt numFmtId="170" formatCode="#,##0.000000"/>
  </numFmts>
  <fonts count="9" x14ac:knownFonts="1">
    <font>
      <sz val="12"/>
      <color theme="1"/>
      <name val="Aptos Narrow"/>
      <family val="2"/>
      <scheme val="minor"/>
    </font>
    <font>
      <sz val="12"/>
      <color theme="1"/>
      <name val="Arial"/>
      <family val="2"/>
    </font>
    <font>
      <sz val="11"/>
      <color theme="1"/>
      <name val="Arial"/>
      <family val="2"/>
    </font>
    <font>
      <b/>
      <sz val="16"/>
      <color theme="1"/>
      <name val="Arial"/>
      <family val="2"/>
    </font>
    <font>
      <b/>
      <sz val="11"/>
      <color theme="1"/>
      <name val="Arial"/>
      <family val="2"/>
    </font>
    <font>
      <u/>
      <sz val="12"/>
      <color theme="10"/>
      <name val="Aptos Narrow"/>
      <family val="2"/>
      <scheme val="minor"/>
    </font>
    <font>
      <u/>
      <sz val="11"/>
      <color theme="10"/>
      <name val="Arial"/>
      <family val="2"/>
    </font>
    <font>
      <sz val="10"/>
      <color theme="1"/>
      <name val="Arial Unicode MS"/>
      <family val="2"/>
    </font>
    <font>
      <sz val="11"/>
      <color theme="7"/>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3" tint="0.89999084444715716"/>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59">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0" fontId="2" fillId="0" borderId="0" xfId="0" applyFont="1" applyAlignment="1">
      <alignment wrapText="1"/>
    </xf>
    <xf numFmtId="164" fontId="2" fillId="0" borderId="0" xfId="0" applyNumberFormat="1" applyFont="1"/>
    <xf numFmtId="0" fontId="2" fillId="0" borderId="0" xfId="0" applyFont="1" applyAlignment="1">
      <alignment vertical="center"/>
    </xf>
    <xf numFmtId="0" fontId="2" fillId="0" borderId="0" xfId="0" applyFont="1" applyAlignment="1">
      <alignment vertical="center" wrapText="1"/>
    </xf>
    <xf numFmtId="0" fontId="6" fillId="0" borderId="0" xfId="1" applyFont="1" applyAlignment="1">
      <alignmen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165" fontId="2" fillId="0" borderId="0" xfId="0" applyNumberFormat="1" applyFont="1" applyAlignment="1">
      <alignment horizontal="left" vertical="center" wrapText="1"/>
    </xf>
    <xf numFmtId="0" fontId="6" fillId="0" borderId="0" xfId="1" applyFont="1" applyAlignment="1">
      <alignment horizontal="left" vertical="center" wrapText="1"/>
    </xf>
    <xf numFmtId="0" fontId="4" fillId="2" borderId="0" xfId="0" applyFont="1" applyFill="1" applyAlignment="1">
      <alignment horizontal="left" vertical="center"/>
    </xf>
    <xf numFmtId="166" fontId="2" fillId="0" borderId="0" xfId="0" applyNumberFormat="1" applyFont="1"/>
    <xf numFmtId="164" fontId="7" fillId="0" borderId="0" xfId="0" applyNumberFormat="1" applyFont="1"/>
    <xf numFmtId="0" fontId="0" fillId="0" borderId="0" xfId="0" applyAlignment="1">
      <alignment wrapText="1"/>
    </xf>
    <xf numFmtId="0" fontId="1" fillId="0" borderId="0" xfId="0" applyFont="1" applyAlignment="1">
      <alignment wrapText="1"/>
    </xf>
    <xf numFmtId="0" fontId="5" fillId="0" borderId="0" xfId="1" applyAlignment="1">
      <alignment wrapText="1"/>
    </xf>
    <xf numFmtId="0" fontId="2" fillId="2" borderId="0" xfId="0" applyFont="1" applyFill="1"/>
    <xf numFmtId="0" fontId="4" fillId="2" borderId="0" xfId="0" applyFont="1" applyFill="1" applyAlignment="1">
      <alignment vertical="center"/>
    </xf>
    <xf numFmtId="0" fontId="0" fillId="0" borderId="0" xfId="0" applyAlignment="1">
      <alignment vertical="center"/>
    </xf>
    <xf numFmtId="0" fontId="0" fillId="0" borderId="0" xfId="0" applyAlignment="1">
      <alignment vertical="center" wrapText="1"/>
    </xf>
    <xf numFmtId="0" fontId="1" fillId="0" borderId="0" xfId="0" applyFont="1" applyAlignment="1">
      <alignment vertical="center" wrapText="1"/>
    </xf>
    <xf numFmtId="0" fontId="7" fillId="0" borderId="0" xfId="0" applyFont="1" applyAlignment="1">
      <alignment wrapText="1"/>
    </xf>
    <xf numFmtId="164" fontId="7" fillId="0" borderId="0" xfId="0" applyNumberFormat="1" applyFont="1" applyAlignment="1">
      <alignment wrapText="1"/>
    </xf>
    <xf numFmtId="4" fontId="2" fillId="0" borderId="0" xfId="0" applyNumberFormat="1" applyFont="1" applyAlignment="1">
      <alignment wrapText="1"/>
    </xf>
    <xf numFmtId="4" fontId="0" fillId="0" borderId="0" xfId="0" applyNumberFormat="1"/>
    <xf numFmtId="164" fontId="2" fillId="0" borderId="0" xfId="0" applyNumberFormat="1" applyFont="1" applyAlignment="1">
      <alignment wrapText="1"/>
    </xf>
    <xf numFmtId="0" fontId="2" fillId="3" borderId="0" xfId="0" applyFont="1" applyFill="1"/>
    <xf numFmtId="166" fontId="8" fillId="0" borderId="0" xfId="0" applyNumberFormat="1" applyFont="1"/>
    <xf numFmtId="10" fontId="8" fillId="0" borderId="0" xfId="0" applyNumberFormat="1" applyFont="1"/>
    <xf numFmtId="10" fontId="0" fillId="0" borderId="0" xfId="0" applyNumberFormat="1"/>
    <xf numFmtId="14" fontId="2" fillId="0" borderId="0" xfId="0" applyNumberFormat="1" applyFont="1" applyAlignment="1">
      <alignment vertical="center" wrapText="1"/>
    </xf>
    <xf numFmtId="10" fontId="1" fillId="0" borderId="0" xfId="0" applyNumberFormat="1" applyFont="1"/>
    <xf numFmtId="164" fontId="1" fillId="0" borderId="0" xfId="0" applyNumberFormat="1" applyFont="1"/>
    <xf numFmtId="167" fontId="1" fillId="0" borderId="0" xfId="0" applyNumberFormat="1" applyFont="1"/>
    <xf numFmtId="168" fontId="1" fillId="0" borderId="0" xfId="0" applyNumberFormat="1" applyFont="1"/>
    <xf numFmtId="2" fontId="1" fillId="0" borderId="0" xfId="0" applyNumberFormat="1" applyFont="1"/>
    <xf numFmtId="164" fontId="1" fillId="0" borderId="0" xfId="0" applyNumberFormat="1" applyFont="1" applyAlignment="1">
      <alignment vertical="center" wrapText="1"/>
    </xf>
    <xf numFmtId="14" fontId="1" fillId="0" borderId="0" xfId="0" applyNumberFormat="1" applyFont="1"/>
    <xf numFmtId="169" fontId="1" fillId="0" borderId="0" xfId="0" applyNumberFormat="1" applyFont="1"/>
    <xf numFmtId="9" fontId="1" fillId="0" borderId="0" xfId="0" applyNumberFormat="1" applyFont="1"/>
    <xf numFmtId="14" fontId="2" fillId="0" borderId="0" xfId="0" applyNumberFormat="1" applyFont="1" applyAlignment="1">
      <alignment wrapText="1"/>
    </xf>
    <xf numFmtId="10" fontId="2" fillId="0" borderId="0" xfId="0" applyNumberFormat="1" applyFont="1" applyAlignment="1">
      <alignment wrapText="1"/>
    </xf>
    <xf numFmtId="10" fontId="8" fillId="0" borderId="0" xfId="0" applyNumberFormat="1" applyFont="1" applyAlignment="1">
      <alignment wrapText="1"/>
    </xf>
    <xf numFmtId="1" fontId="2" fillId="0" borderId="0" xfId="0" applyNumberFormat="1" applyFont="1" applyAlignment="1">
      <alignment wrapText="1"/>
    </xf>
    <xf numFmtId="166" fontId="2" fillId="0" borderId="0" xfId="0" applyNumberFormat="1" applyFont="1" applyAlignment="1">
      <alignment wrapText="1"/>
    </xf>
    <xf numFmtId="169" fontId="2" fillId="0" borderId="0" xfId="0" applyNumberFormat="1" applyFont="1" applyAlignment="1">
      <alignment wrapText="1"/>
    </xf>
    <xf numFmtId="9" fontId="2" fillId="0" borderId="0" xfId="0" applyNumberFormat="1" applyFont="1" applyAlignment="1">
      <alignment wrapText="1"/>
    </xf>
    <xf numFmtId="167" fontId="2" fillId="0" borderId="0" xfId="0" applyNumberFormat="1" applyFont="1" applyAlignment="1">
      <alignment wrapText="1"/>
    </xf>
    <xf numFmtId="0" fontId="4" fillId="0" borderId="0" xfId="0" applyFont="1" applyAlignment="1">
      <alignment wrapText="1"/>
    </xf>
    <xf numFmtId="4" fontId="4" fillId="0" borderId="0" xfId="0" applyNumberFormat="1" applyFont="1" applyAlignment="1">
      <alignment wrapText="1"/>
    </xf>
    <xf numFmtId="10" fontId="2" fillId="0" borderId="0" xfId="0" applyNumberFormat="1" applyFont="1" applyAlignment="1">
      <alignment vertical="center"/>
    </xf>
    <xf numFmtId="10" fontId="2" fillId="0" borderId="0" xfId="0" applyNumberFormat="1" applyFont="1"/>
    <xf numFmtId="4" fontId="2" fillId="0" borderId="0" xfId="0" applyNumberFormat="1" applyFont="1"/>
    <xf numFmtId="4" fontId="4" fillId="0" borderId="1" xfId="0" applyNumberFormat="1" applyFont="1" applyBorder="1"/>
    <xf numFmtId="170" fontId="2" fillId="0" borderId="0" xfId="0" applyNumberFormat="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investor.tsmc.com/english/encrypt/files/encrypt_file/reports/2026-01/51d09df96cd89ac19d65af39032b038dc2896a24/TSMC%204Q25%20Transcript.pdf?utm_source" TargetMode="External"/><Relationship Id="rId2" Type="http://schemas.openxmlformats.org/officeDocument/2006/relationships/hyperlink" Target="https://investor.tsmc.com/sites/ir/financial-report/2024/TSMC%202024Q4%20Consolidated%20Financial%20Statements_E.pdf?utm_source" TargetMode="External"/><Relationship Id="rId1" Type="http://schemas.openxmlformats.org/officeDocument/2006/relationships/hyperlink" Target="https://investor.tsmc.com/sites/ir/financial-report/2025/TSMC%202025Q4%20Consolidated%20Financial%20Statements_E_0.pdf?utm_sour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D84A0-E760-9540-B8FE-C775EB01FB31}">
  <dimension ref="A1:C111"/>
  <sheetViews>
    <sheetView workbookViewId="0">
      <pane ySplit="3" topLeftCell="A104" activePane="bottomLeft" state="frozen"/>
      <selection pane="bottomLeft" activeCell="B119" sqref="B119"/>
    </sheetView>
  </sheetViews>
  <sheetFormatPr baseColWidth="10" defaultRowHeight="14" x14ac:dyDescent="0.15"/>
  <cols>
    <col min="1" max="1" width="28.83203125" style="2" customWidth="1"/>
    <col min="2" max="2" width="75.83203125" style="5" customWidth="1"/>
    <col min="3" max="16384" width="10.83203125" style="2"/>
  </cols>
  <sheetData>
    <row r="1" spans="1:2" ht="20" x14ac:dyDescent="0.2">
      <c r="A1" s="3" t="s">
        <v>0</v>
      </c>
    </row>
    <row r="3" spans="1:2" x14ac:dyDescent="0.15">
      <c r="A3" s="21" t="s">
        <v>1</v>
      </c>
      <c r="B3" s="8"/>
    </row>
    <row r="4" spans="1:2" ht="15" x14ac:dyDescent="0.15">
      <c r="A4" s="7" t="s">
        <v>2</v>
      </c>
      <c r="B4" s="8" t="s">
        <v>3</v>
      </c>
    </row>
    <row r="5" spans="1:2" ht="15" x14ac:dyDescent="0.15">
      <c r="A5" s="7" t="s">
        <v>4</v>
      </c>
      <c r="B5" s="8" t="s">
        <v>5</v>
      </c>
    </row>
    <row r="6" spans="1:2" x14ac:dyDescent="0.15">
      <c r="A6" s="7" t="s">
        <v>6</v>
      </c>
      <c r="B6" s="34">
        <f>WACC!B42</f>
        <v>46080</v>
      </c>
    </row>
    <row r="7" spans="1:2" ht="15" x14ac:dyDescent="0.15">
      <c r="A7" s="7" t="s">
        <v>7</v>
      </c>
      <c r="B7" s="8" t="s">
        <v>8</v>
      </c>
    </row>
    <row r="8" spans="1:2" ht="15" x14ac:dyDescent="0.15">
      <c r="A8" s="7" t="s">
        <v>9</v>
      </c>
      <c r="B8" s="8" t="s">
        <v>10</v>
      </c>
    </row>
    <row r="9" spans="1:2" ht="15" x14ac:dyDescent="0.15">
      <c r="A9" s="7" t="s">
        <v>11</v>
      </c>
      <c r="B9" s="8" t="s">
        <v>12</v>
      </c>
    </row>
    <row r="10" spans="1:2" ht="15" x14ac:dyDescent="0.15">
      <c r="A10" s="7" t="s">
        <v>13</v>
      </c>
      <c r="B10" s="8" t="s">
        <v>14</v>
      </c>
    </row>
    <row r="11" spans="1:2" x14ac:dyDescent="0.15">
      <c r="A11" s="7"/>
      <c r="B11" s="8"/>
    </row>
    <row r="12" spans="1:2" x14ac:dyDescent="0.15">
      <c r="A12" s="21" t="s">
        <v>15</v>
      </c>
      <c r="B12" s="8"/>
    </row>
    <row r="13" spans="1:2" ht="15" x14ac:dyDescent="0.15">
      <c r="A13" s="7" t="s">
        <v>16</v>
      </c>
      <c r="B13" s="8" t="s">
        <v>17</v>
      </c>
    </row>
    <row r="14" spans="1:2" ht="15" x14ac:dyDescent="0.15">
      <c r="A14" s="7" t="s">
        <v>18</v>
      </c>
      <c r="B14" s="8" t="s">
        <v>19</v>
      </c>
    </row>
    <row r="15" spans="1:2" ht="15" x14ac:dyDescent="0.15">
      <c r="A15" s="7" t="s">
        <v>20</v>
      </c>
      <c r="B15" s="8" t="s">
        <v>21</v>
      </c>
    </row>
    <row r="16" spans="1:2" ht="15" x14ac:dyDescent="0.15">
      <c r="A16" s="7" t="s">
        <v>22</v>
      </c>
      <c r="B16" s="8" t="s">
        <v>23</v>
      </c>
    </row>
    <row r="17" spans="1:2" x14ac:dyDescent="0.15">
      <c r="A17" s="7"/>
      <c r="B17" s="8"/>
    </row>
    <row r="18" spans="1:2" x14ac:dyDescent="0.15">
      <c r="A18" s="14" t="s">
        <v>36</v>
      </c>
      <c r="B18" s="11"/>
    </row>
    <row r="19" spans="1:2" ht="30" x14ac:dyDescent="0.15">
      <c r="A19" s="10" t="s">
        <v>37</v>
      </c>
      <c r="B19" s="11" t="s">
        <v>38</v>
      </c>
    </row>
    <row r="20" spans="1:2" ht="15" x14ac:dyDescent="0.15">
      <c r="A20" s="10" t="s">
        <v>39</v>
      </c>
      <c r="B20" s="11" t="s">
        <v>40</v>
      </c>
    </row>
    <row r="21" spans="1:2" ht="15" x14ac:dyDescent="0.15">
      <c r="A21" s="10" t="s">
        <v>41</v>
      </c>
      <c r="B21" s="11" t="s">
        <v>42</v>
      </c>
    </row>
    <row r="22" spans="1:2" x14ac:dyDescent="0.15">
      <c r="A22" s="10" t="s">
        <v>43</v>
      </c>
      <c r="B22" s="12">
        <v>46063</v>
      </c>
    </row>
    <row r="23" spans="1:2" x14ac:dyDescent="0.15">
      <c r="A23" s="10" t="s">
        <v>44</v>
      </c>
      <c r="B23" s="12">
        <v>46313</v>
      </c>
    </row>
    <row r="24" spans="1:2" ht="45" x14ac:dyDescent="0.15">
      <c r="A24" s="10" t="s">
        <v>45</v>
      </c>
      <c r="B24" s="13" t="s">
        <v>46</v>
      </c>
    </row>
    <row r="25" spans="1:2" x14ac:dyDescent="0.15">
      <c r="A25" s="7"/>
      <c r="B25" s="8"/>
    </row>
    <row r="26" spans="1:2" ht="30" x14ac:dyDescent="0.15">
      <c r="A26" s="7" t="s">
        <v>48</v>
      </c>
      <c r="B26" s="8" t="s">
        <v>49</v>
      </c>
    </row>
    <row r="27" spans="1:2" x14ac:dyDescent="0.15">
      <c r="A27" s="7"/>
      <c r="B27" s="8"/>
    </row>
    <row r="28" spans="1:2" ht="45" x14ac:dyDescent="0.15">
      <c r="A28" s="7" t="s">
        <v>50</v>
      </c>
      <c r="B28" s="8" t="s">
        <v>51</v>
      </c>
    </row>
    <row r="29" spans="1:2" ht="45" x14ac:dyDescent="0.15">
      <c r="A29" s="7" t="s">
        <v>45</v>
      </c>
      <c r="B29" s="9" t="s">
        <v>52</v>
      </c>
    </row>
    <row r="30" spans="1:2" x14ac:dyDescent="0.15">
      <c r="A30" s="7"/>
      <c r="B30" s="8"/>
    </row>
    <row r="31" spans="1:2" ht="45" x14ac:dyDescent="0.15">
      <c r="A31" s="7" t="s">
        <v>53</v>
      </c>
      <c r="B31" s="8" t="s">
        <v>54</v>
      </c>
    </row>
    <row r="32" spans="1:2" ht="45" x14ac:dyDescent="0.15">
      <c r="A32" s="7" t="s">
        <v>55</v>
      </c>
      <c r="B32" s="8" t="s">
        <v>56</v>
      </c>
    </row>
    <row r="33" spans="1:2" x14ac:dyDescent="0.15">
      <c r="A33" s="7"/>
      <c r="B33" s="8"/>
    </row>
    <row r="34" spans="1:2" ht="45" x14ac:dyDescent="0.15">
      <c r="A34" s="7" t="s">
        <v>58</v>
      </c>
      <c r="B34" s="8" t="s">
        <v>59</v>
      </c>
    </row>
    <row r="35" spans="1:2" ht="45" x14ac:dyDescent="0.15">
      <c r="A35" s="7" t="s">
        <v>60</v>
      </c>
      <c r="B35" s="8" t="s">
        <v>61</v>
      </c>
    </row>
    <row r="36" spans="1:2" x14ac:dyDescent="0.15">
      <c r="A36" s="7"/>
      <c r="B36" s="8"/>
    </row>
    <row r="37" spans="1:2" ht="45" x14ac:dyDescent="0.15">
      <c r="A37" s="7" t="s">
        <v>63</v>
      </c>
      <c r="B37" s="8" t="s">
        <v>64</v>
      </c>
    </row>
    <row r="38" spans="1:2" ht="45" x14ac:dyDescent="0.15">
      <c r="A38" s="7" t="s">
        <v>65</v>
      </c>
      <c r="B38" s="8" t="s">
        <v>66</v>
      </c>
    </row>
    <row r="39" spans="1:2" x14ac:dyDescent="0.15">
      <c r="A39" s="7"/>
      <c r="B39" s="8"/>
    </row>
    <row r="40" spans="1:2" ht="45" x14ac:dyDescent="0.15">
      <c r="A40" s="7" t="s">
        <v>70</v>
      </c>
      <c r="B40" s="8" t="s">
        <v>71</v>
      </c>
    </row>
    <row r="41" spans="1:2" x14ac:dyDescent="0.15">
      <c r="A41" s="7"/>
      <c r="B41" s="8"/>
    </row>
    <row r="42" spans="1:2" ht="45" x14ac:dyDescent="0.15">
      <c r="A42" s="7" t="s">
        <v>76</v>
      </c>
      <c r="B42" s="8" t="s">
        <v>77</v>
      </c>
    </row>
    <row r="43" spans="1:2" ht="45" x14ac:dyDescent="0.15">
      <c r="A43" s="7" t="s">
        <v>78</v>
      </c>
      <c r="B43" s="8" t="s">
        <v>79</v>
      </c>
    </row>
    <row r="44" spans="1:2" x14ac:dyDescent="0.15">
      <c r="A44" s="7"/>
      <c r="B44" s="8"/>
    </row>
    <row r="45" spans="1:2" ht="45" x14ac:dyDescent="0.15">
      <c r="A45" s="7" t="s">
        <v>85</v>
      </c>
      <c r="B45" s="8" t="s">
        <v>86</v>
      </c>
    </row>
    <row r="46" spans="1:2" x14ac:dyDescent="0.15">
      <c r="A46" s="7"/>
      <c r="B46" s="8"/>
    </row>
    <row r="47" spans="1:2" ht="45" x14ac:dyDescent="0.15">
      <c r="A47" s="8" t="s">
        <v>89</v>
      </c>
      <c r="B47" s="8" t="s">
        <v>90</v>
      </c>
    </row>
    <row r="48" spans="1:2" x14ac:dyDescent="0.15">
      <c r="A48" s="7"/>
      <c r="B48" s="8"/>
    </row>
    <row r="49" spans="1:3" ht="45" x14ac:dyDescent="0.15">
      <c r="A49" s="7" t="s">
        <v>97</v>
      </c>
      <c r="B49" s="8" t="s">
        <v>98</v>
      </c>
    </row>
    <row r="50" spans="1:3" ht="60" x14ac:dyDescent="0.15">
      <c r="A50" s="7" t="s">
        <v>99</v>
      </c>
      <c r="B50" s="8" t="s">
        <v>100</v>
      </c>
    </row>
    <row r="51" spans="1:3" x14ac:dyDescent="0.15">
      <c r="A51" s="7"/>
      <c r="B51" s="8"/>
    </row>
    <row r="52" spans="1:3" ht="60" x14ac:dyDescent="0.15">
      <c r="A52" s="7" t="s">
        <v>103</v>
      </c>
      <c r="B52" s="8" t="s">
        <v>104</v>
      </c>
    </row>
    <row r="54" spans="1:3" ht="45" x14ac:dyDescent="0.15">
      <c r="A54" s="7" t="s">
        <v>107</v>
      </c>
      <c r="B54" s="8" t="s">
        <v>108</v>
      </c>
    </row>
    <row r="55" spans="1:3" ht="45" x14ac:dyDescent="0.2">
      <c r="A55" s="7" t="s">
        <v>109</v>
      </c>
      <c r="B55" s="8" t="s">
        <v>110</v>
      </c>
      <c r="C55"/>
    </row>
    <row r="57" spans="1:3" ht="45" x14ac:dyDescent="0.15">
      <c r="A57" s="7" t="s">
        <v>113</v>
      </c>
      <c r="B57" s="8" t="s">
        <v>114</v>
      </c>
    </row>
    <row r="58" spans="1:3" ht="60" x14ac:dyDescent="0.15">
      <c r="A58" s="7" t="s">
        <v>115</v>
      </c>
      <c r="B58" s="8" t="s">
        <v>116</v>
      </c>
    </row>
    <row r="60" spans="1:3" ht="45" x14ac:dyDescent="0.15">
      <c r="A60" s="7" t="s">
        <v>118</v>
      </c>
      <c r="B60" s="8" t="s">
        <v>119</v>
      </c>
    </row>
    <row r="62" spans="1:3" ht="60" x14ac:dyDescent="0.15">
      <c r="A62" s="8" t="s">
        <v>122</v>
      </c>
      <c r="B62" s="8" t="s">
        <v>123</v>
      </c>
    </row>
    <row r="64" spans="1:3" ht="60" x14ac:dyDescent="0.15">
      <c r="A64" s="7" t="s">
        <v>128</v>
      </c>
      <c r="B64" s="8" t="s">
        <v>129</v>
      </c>
    </row>
    <row r="65" spans="1:2" ht="60" x14ac:dyDescent="0.15">
      <c r="A65" s="7" t="s">
        <v>130</v>
      </c>
      <c r="B65" s="8" t="s">
        <v>131</v>
      </c>
    </row>
    <row r="67" spans="1:2" ht="60" x14ac:dyDescent="0.15">
      <c r="A67" s="7" t="s">
        <v>134</v>
      </c>
      <c r="B67" s="8" t="s">
        <v>135</v>
      </c>
    </row>
    <row r="68" spans="1:2" ht="60" x14ac:dyDescent="0.15">
      <c r="A68" s="7" t="s">
        <v>136</v>
      </c>
      <c r="B68" s="8" t="s">
        <v>137</v>
      </c>
    </row>
    <row r="70" spans="1:2" ht="60" x14ac:dyDescent="0.15">
      <c r="A70" s="8" t="s">
        <v>139</v>
      </c>
      <c r="B70" s="8" t="s">
        <v>140</v>
      </c>
    </row>
    <row r="72" spans="1:2" ht="60" x14ac:dyDescent="0.15">
      <c r="A72" s="2" t="s">
        <v>143</v>
      </c>
      <c r="B72" s="5" t="s">
        <v>144</v>
      </c>
    </row>
    <row r="73" spans="1:2" ht="60" x14ac:dyDescent="0.15">
      <c r="A73" s="2" t="s">
        <v>145</v>
      </c>
      <c r="B73" s="5" t="s">
        <v>146</v>
      </c>
    </row>
    <row r="75" spans="1:2" ht="45" x14ac:dyDescent="0.15">
      <c r="A75" s="7" t="s">
        <v>148</v>
      </c>
      <c r="B75" s="8" t="s">
        <v>149</v>
      </c>
    </row>
    <row r="76" spans="1:2" ht="45" x14ac:dyDescent="0.15">
      <c r="A76" s="7" t="s">
        <v>150</v>
      </c>
      <c r="B76" s="8" t="s">
        <v>151</v>
      </c>
    </row>
    <row r="78" spans="1:2" ht="45" x14ac:dyDescent="0.15">
      <c r="A78" s="8" t="s">
        <v>154</v>
      </c>
      <c r="B78" s="8" t="s">
        <v>155</v>
      </c>
    </row>
    <row r="79" spans="1:2" ht="45" x14ac:dyDescent="0.15">
      <c r="A79" s="8" t="s">
        <v>156</v>
      </c>
      <c r="B79" s="8" t="s">
        <v>157</v>
      </c>
    </row>
    <row r="81" spans="1:2" ht="45" x14ac:dyDescent="0.15">
      <c r="A81" s="7" t="s">
        <v>160</v>
      </c>
      <c r="B81" s="8" t="s">
        <v>161</v>
      </c>
    </row>
    <row r="82" spans="1:2" ht="45" x14ac:dyDescent="0.15">
      <c r="A82" s="7" t="s">
        <v>162</v>
      </c>
      <c r="B82" s="8" t="s">
        <v>163</v>
      </c>
    </row>
    <row r="84" spans="1:2" ht="60" x14ac:dyDescent="0.15">
      <c r="A84" s="7" t="s">
        <v>168</v>
      </c>
      <c r="B84" s="8" t="s">
        <v>169</v>
      </c>
    </row>
    <row r="85" spans="1:2" ht="60" x14ac:dyDescent="0.15">
      <c r="A85" s="7" t="s">
        <v>170</v>
      </c>
      <c r="B85" s="8" t="s">
        <v>171</v>
      </c>
    </row>
    <row r="87" spans="1:2" ht="60" x14ac:dyDescent="0.15">
      <c r="A87" s="8" t="s">
        <v>180</v>
      </c>
      <c r="B87" s="8" t="s">
        <v>181</v>
      </c>
    </row>
    <row r="88" spans="1:2" ht="75" x14ac:dyDescent="0.15">
      <c r="A88" s="8" t="s">
        <v>182</v>
      </c>
      <c r="B88" s="8" t="s">
        <v>183</v>
      </c>
    </row>
    <row r="90" spans="1:2" ht="105" x14ac:dyDescent="0.15">
      <c r="A90" s="8" t="s">
        <v>204</v>
      </c>
      <c r="B90" s="8" t="s">
        <v>205</v>
      </c>
    </row>
    <row r="91" spans="1:2" ht="51" x14ac:dyDescent="0.2">
      <c r="A91" s="7" t="s">
        <v>206</v>
      </c>
      <c r="B91" s="19" t="s">
        <v>207</v>
      </c>
    </row>
    <row r="93" spans="1:2" ht="90" x14ac:dyDescent="0.15">
      <c r="A93" s="8" t="s">
        <v>210</v>
      </c>
      <c r="B93" s="8" t="s">
        <v>211</v>
      </c>
    </row>
    <row r="94" spans="1:2" ht="90" x14ac:dyDescent="0.15">
      <c r="A94" s="8" t="s">
        <v>212</v>
      </c>
      <c r="B94" s="8" t="s">
        <v>213</v>
      </c>
    </row>
    <row r="96" spans="1:2" ht="60" x14ac:dyDescent="0.15">
      <c r="A96" s="8" t="s">
        <v>239</v>
      </c>
      <c r="B96" s="8" t="s">
        <v>240</v>
      </c>
    </row>
    <row r="97" spans="1:2" ht="90" x14ac:dyDescent="0.15">
      <c r="A97" s="8" t="s">
        <v>241</v>
      </c>
      <c r="B97" s="8" t="s">
        <v>242</v>
      </c>
    </row>
    <row r="98" spans="1:2" ht="60" x14ac:dyDescent="0.15">
      <c r="A98" s="8" t="s">
        <v>243</v>
      </c>
      <c r="B98" s="8" t="s">
        <v>244</v>
      </c>
    </row>
    <row r="100" spans="1:2" ht="75" x14ac:dyDescent="0.15">
      <c r="A100" s="8" t="s">
        <v>254</v>
      </c>
      <c r="B100" s="8" t="s">
        <v>255</v>
      </c>
    </row>
    <row r="101" spans="1:2" ht="60" x14ac:dyDescent="0.15">
      <c r="A101" s="8" t="s">
        <v>256</v>
      </c>
      <c r="B101" s="8" t="s">
        <v>257</v>
      </c>
    </row>
    <row r="103" spans="1:2" ht="105" x14ac:dyDescent="0.15">
      <c r="A103" s="8" t="s">
        <v>260</v>
      </c>
      <c r="B103" s="8" t="s">
        <v>261</v>
      </c>
    </row>
    <row r="104" spans="1:2" ht="90" x14ac:dyDescent="0.15">
      <c r="A104" s="8" t="s">
        <v>262</v>
      </c>
      <c r="B104" s="8" t="s">
        <v>263</v>
      </c>
    </row>
    <row r="105" spans="1:2" ht="75" x14ac:dyDescent="0.15">
      <c r="A105" s="8" t="s">
        <v>264</v>
      </c>
      <c r="B105" s="8" t="s">
        <v>265</v>
      </c>
    </row>
    <row r="107" spans="1:2" ht="60" x14ac:dyDescent="0.15">
      <c r="A107" s="8" t="s">
        <v>291</v>
      </c>
      <c r="B107" s="8" t="s">
        <v>292</v>
      </c>
    </row>
    <row r="108" spans="1:2" ht="75" x14ac:dyDescent="0.15">
      <c r="A108" s="8" t="s">
        <v>293</v>
      </c>
      <c r="B108" s="8" t="s">
        <v>294</v>
      </c>
    </row>
    <row r="110" spans="1:2" ht="90" x14ac:dyDescent="0.15">
      <c r="A110" s="8" t="s">
        <v>312</v>
      </c>
      <c r="B110" s="8" t="s">
        <v>313</v>
      </c>
    </row>
    <row r="111" spans="1:2" ht="90" x14ac:dyDescent="0.15">
      <c r="A111" s="8" t="s">
        <v>314</v>
      </c>
      <c r="B111" s="8" t="s">
        <v>315</v>
      </c>
    </row>
  </sheetData>
  <hyperlinks>
    <hyperlink ref="B24" r:id="rId1" xr:uid="{0B869451-02D6-1C43-96A0-2B1FB14A2656}"/>
    <hyperlink ref="B29" r:id="rId2" xr:uid="{CC721A69-58D1-1B4B-8002-7BE591B70D45}"/>
    <hyperlink ref="B91" r:id="rId3" xr:uid="{B13FA94F-E8B2-024E-80CF-B40CF1150C1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B73CC-7D3C-0F41-A3AB-C233E872F200}">
  <dimension ref="A1:E89"/>
  <sheetViews>
    <sheetView zoomScale="115" workbookViewId="0">
      <selection activeCell="A92" sqref="A92"/>
    </sheetView>
  </sheetViews>
  <sheetFormatPr baseColWidth="10" defaultRowHeight="14" x14ac:dyDescent="0.15"/>
  <cols>
    <col min="1" max="1" width="35.33203125" style="2" customWidth="1"/>
    <col min="2" max="2" width="18.83203125" style="2" customWidth="1"/>
    <col min="3" max="3" width="13" style="6" bestFit="1" customWidth="1"/>
    <col min="4" max="4" width="18.83203125" style="2" customWidth="1"/>
    <col min="5" max="16384" width="10.83203125" style="2"/>
  </cols>
  <sheetData>
    <row r="1" spans="1:4" ht="20" x14ac:dyDescent="0.2">
      <c r="A1" s="3" t="s">
        <v>24</v>
      </c>
    </row>
    <row r="2" spans="1:4" x14ac:dyDescent="0.15">
      <c r="A2" s="2" t="s">
        <v>25</v>
      </c>
    </row>
    <row r="4" spans="1:4" x14ac:dyDescent="0.15">
      <c r="B4" s="2" t="s">
        <v>26</v>
      </c>
      <c r="C4" s="6" t="s">
        <v>27</v>
      </c>
      <c r="D4" s="2" t="s">
        <v>28</v>
      </c>
    </row>
    <row r="6" spans="1:4" x14ac:dyDescent="0.15">
      <c r="A6" s="4" t="s">
        <v>29</v>
      </c>
    </row>
    <row r="7" spans="1:4" x14ac:dyDescent="0.15">
      <c r="A7" s="2" t="s">
        <v>30</v>
      </c>
      <c r="B7" s="6">
        <f>2161735841/1000</f>
        <v>2161735.841</v>
      </c>
      <c r="C7" s="6">
        <f>2894307699/1000</f>
        <v>2894307.699</v>
      </c>
      <c r="D7" s="6">
        <f>3809054272/1000</f>
        <v>3809054.2719999999</v>
      </c>
    </row>
    <row r="8" spans="1:4" x14ac:dyDescent="0.15">
      <c r="A8" s="2" t="s">
        <v>31</v>
      </c>
      <c r="B8" s="6">
        <f>986625213/1000</f>
        <v>986625.21299999999</v>
      </c>
      <c r="C8" s="6">
        <f>1269954135/1000</f>
        <v>1269954.135</v>
      </c>
      <c r="D8" s="6">
        <f>1527760293/1000</f>
        <v>1527760.2930000001</v>
      </c>
    </row>
    <row r="9" spans="1:4" x14ac:dyDescent="0.15">
      <c r="A9" s="2" t="s">
        <v>32</v>
      </c>
      <c r="B9" s="6">
        <f>B7-B8</f>
        <v>1175110.628</v>
      </c>
      <c r="C9" s="6">
        <f t="shared" ref="C9:D9" si="0">C7-C8</f>
        <v>1624353.564</v>
      </c>
      <c r="D9" s="6">
        <f t="shared" si="0"/>
        <v>2281293.9789999998</v>
      </c>
    </row>
    <row r="10" spans="1:4" ht="16" x14ac:dyDescent="0.25">
      <c r="A10" s="2" t="s">
        <v>33</v>
      </c>
      <c r="B10" s="16">
        <f>253833716/1000</f>
        <v>253833.71599999999</v>
      </c>
      <c r="C10" s="16">
        <f>301070315/1000</f>
        <v>301070.315</v>
      </c>
      <c r="D10" s="16">
        <f>345649630/1000</f>
        <v>345649.63</v>
      </c>
    </row>
    <row r="11" spans="1:4" ht="30" x14ac:dyDescent="0.15">
      <c r="A11" s="5" t="s">
        <v>62</v>
      </c>
      <c r="B11" s="2">
        <f>188694/1000</f>
        <v>188.69399999999999</v>
      </c>
      <c r="C11" s="2">
        <f>-1230199/1000</f>
        <v>-1230.1990000000001</v>
      </c>
      <c r="D11" s="2">
        <f>447328/1000</f>
        <v>447.32799999999997</v>
      </c>
    </row>
    <row r="12" spans="1:4" x14ac:dyDescent="0.15">
      <c r="A12" s="2" t="s">
        <v>34</v>
      </c>
      <c r="B12" s="6">
        <f>B9-B10+B11</f>
        <v>921465.60600000003</v>
      </c>
      <c r="C12" s="6">
        <f t="shared" ref="C12:D12" si="1">C9-C10+C11</f>
        <v>1322053.05</v>
      </c>
      <c r="D12" s="6">
        <f t="shared" si="1"/>
        <v>1936091.6769999999</v>
      </c>
    </row>
    <row r="13" spans="1:4" x14ac:dyDescent="0.15">
      <c r="A13" s="2" t="s">
        <v>35</v>
      </c>
      <c r="B13" s="15">
        <f>B12/B7</f>
        <v>0.42626189033981976</v>
      </c>
      <c r="C13" s="15">
        <f t="shared" ref="C13:D13" si="2">C12/C7</f>
        <v>0.45677695238027977</v>
      </c>
      <c r="D13" s="15">
        <f t="shared" si="2"/>
        <v>0.50828671337975617</v>
      </c>
    </row>
    <row r="15" spans="1:4" x14ac:dyDescent="0.15">
      <c r="A15" s="2" t="s">
        <v>47</v>
      </c>
      <c r="B15" s="15"/>
      <c r="C15" s="15">
        <f>C7/B7-1</f>
        <v>0.33888130275025596</v>
      </c>
      <c r="D15" s="15">
        <f>D7/C7-1</f>
        <v>0.31605021584818016</v>
      </c>
    </row>
    <row r="16" spans="1:4" x14ac:dyDescent="0.15">
      <c r="A16" s="2" t="s">
        <v>57</v>
      </c>
      <c r="B16" s="15">
        <f>B9/B7</f>
        <v>0.54359584816635331</v>
      </c>
      <c r="C16" s="15">
        <f t="shared" ref="C16:D16" si="3">C9/C7</f>
        <v>0.5612235231800764</v>
      </c>
      <c r="D16" s="15">
        <f t="shared" si="3"/>
        <v>0.59891348773095132</v>
      </c>
    </row>
    <row r="18" spans="1:5" x14ac:dyDescent="0.15">
      <c r="A18" s="2" t="s">
        <v>67</v>
      </c>
    </row>
    <row r="19" spans="1:5" x14ac:dyDescent="0.15">
      <c r="A19" s="2" t="s">
        <v>68</v>
      </c>
      <c r="B19" s="6">
        <f>921465606/1000</f>
        <v>921465.60600000003</v>
      </c>
      <c r="C19" s="6">
        <f>1322053050/1000</f>
        <v>1322053.05</v>
      </c>
      <c r="D19" s="6">
        <f>1936091677/1000</f>
        <v>1936091.6769999999</v>
      </c>
    </row>
    <row r="20" spans="1:5" x14ac:dyDescent="0.15">
      <c r="A20" s="2" t="s">
        <v>69</v>
      </c>
      <c r="B20" s="6">
        <f>B12-B19</f>
        <v>0</v>
      </c>
      <c r="C20" s="6">
        <f t="shared" ref="C20:D20" si="4">C12-C19</f>
        <v>0</v>
      </c>
      <c r="D20" s="6">
        <f t="shared" si="4"/>
        <v>0</v>
      </c>
    </row>
    <row r="22" spans="1:5" x14ac:dyDescent="0.15">
      <c r="A22" s="2" t="s">
        <v>72</v>
      </c>
    </row>
    <row r="23" spans="1:5" x14ac:dyDescent="0.15">
      <c r="A23" s="2" t="s">
        <v>73</v>
      </c>
      <c r="B23" s="6">
        <f>979171324/1000</f>
        <v>979171.32400000002</v>
      </c>
      <c r="C23" s="6">
        <f>1405838635/1000</f>
        <v>1405838.635</v>
      </c>
      <c r="D23" s="6">
        <f>2041662840/1000</f>
        <v>2041662.84</v>
      </c>
    </row>
    <row r="24" spans="1:5" x14ac:dyDescent="0.15">
      <c r="A24" s="2" t="s">
        <v>74</v>
      </c>
      <c r="B24" s="6">
        <f>141403807/1000</f>
        <v>141403.807</v>
      </c>
      <c r="C24" s="6">
        <f>233406876/1000</f>
        <v>233406.87599999999</v>
      </c>
      <c r="D24" s="6">
        <f>326266060/1000</f>
        <v>326266.06</v>
      </c>
    </row>
    <row r="25" spans="1:5" x14ac:dyDescent="0.15">
      <c r="A25" s="2" t="s">
        <v>75</v>
      </c>
      <c r="B25" s="15">
        <f>B24/B23</f>
        <v>0.14441171175474496</v>
      </c>
      <c r="C25" s="15">
        <f t="shared" ref="C25:D25" si="5">C24/C23</f>
        <v>0.1660267901230357</v>
      </c>
      <c r="D25" s="15">
        <f t="shared" si="5"/>
        <v>0.15980408400830765</v>
      </c>
    </row>
    <row r="27" spans="1:5" x14ac:dyDescent="0.15">
      <c r="A27" s="2" t="s">
        <v>80</v>
      </c>
      <c r="B27" s="6"/>
      <c r="D27" s="6"/>
    </row>
    <row r="28" spans="1:5" x14ac:dyDescent="0.15">
      <c r="A28" s="2" t="s">
        <v>81</v>
      </c>
      <c r="B28" s="6">
        <f>57705718/1000</f>
        <v>57705.718000000001</v>
      </c>
      <c r="C28" s="6">
        <f>83785585/1000</f>
        <v>83785.585000000006</v>
      </c>
      <c r="D28" s="6">
        <f>105571163/1000</f>
        <v>105571.163</v>
      </c>
      <c r="E28" s="6"/>
    </row>
    <row r="29" spans="1:5" x14ac:dyDescent="0.15">
      <c r="A29" s="2" t="s">
        <v>82</v>
      </c>
      <c r="B29" s="6">
        <f>B12+B28</f>
        <v>979171.32400000002</v>
      </c>
      <c r="C29" s="6">
        <f t="shared" ref="C29:D29" si="6">C12+C28</f>
        <v>1405838.635</v>
      </c>
      <c r="D29" s="6">
        <f t="shared" si="6"/>
        <v>2041662.8399999999</v>
      </c>
    </row>
    <row r="30" spans="1:5" x14ac:dyDescent="0.15">
      <c r="A30" s="2" t="s">
        <v>83</v>
      </c>
      <c r="B30" s="6">
        <f>B29-B23</f>
        <v>0</v>
      </c>
      <c r="C30" s="6">
        <f t="shared" ref="C30:D30" si="7">C29-C23</f>
        <v>0</v>
      </c>
      <c r="D30" s="6">
        <f t="shared" si="7"/>
        <v>0</v>
      </c>
    </row>
    <row r="31" spans="1:5" x14ac:dyDescent="0.15">
      <c r="A31" s="2" t="s">
        <v>84</v>
      </c>
      <c r="B31" s="6">
        <f>B29-B24</f>
        <v>837767.51699999999</v>
      </c>
      <c r="C31" s="6">
        <f t="shared" ref="C31:D31" si="8">C29-C24</f>
        <v>1172431.7590000001</v>
      </c>
      <c r="D31" s="6">
        <f t="shared" si="8"/>
        <v>1715396.7799999998</v>
      </c>
    </row>
    <row r="32" spans="1:5" x14ac:dyDescent="0.15">
      <c r="A32" s="2" t="s">
        <v>87</v>
      </c>
      <c r="B32" s="2">
        <f>837767517/1000</f>
        <v>837767.51699999999</v>
      </c>
      <c r="C32" s="2">
        <f>1172431759/1000</f>
        <v>1172431.7590000001</v>
      </c>
      <c r="D32" s="2">
        <f>1715396780/1000</f>
        <v>1715396.78</v>
      </c>
    </row>
    <row r="33" spans="1:4" x14ac:dyDescent="0.15">
      <c r="A33" s="2" t="s">
        <v>88</v>
      </c>
      <c r="B33" s="6">
        <f>B31-B32</f>
        <v>0</v>
      </c>
      <c r="C33" s="6">
        <f t="shared" ref="C33:D33" si="9">C31-C32</f>
        <v>0</v>
      </c>
      <c r="D33" s="6">
        <f t="shared" si="9"/>
        <v>0</v>
      </c>
    </row>
    <row r="35" spans="1:4" x14ac:dyDescent="0.15">
      <c r="A35" s="4" t="s">
        <v>91</v>
      </c>
    </row>
    <row r="36" spans="1:4" x14ac:dyDescent="0.15">
      <c r="A36" s="2" t="s">
        <v>92</v>
      </c>
    </row>
    <row r="37" spans="1:4" x14ac:dyDescent="0.15">
      <c r="B37" s="2" t="s">
        <v>26</v>
      </c>
      <c r="C37" s="2" t="s">
        <v>27</v>
      </c>
      <c r="D37" s="2" t="s">
        <v>28</v>
      </c>
    </row>
    <row r="39" spans="1:4" x14ac:dyDescent="0.15">
      <c r="A39" s="2" t="s">
        <v>93</v>
      </c>
      <c r="B39" s="6">
        <f>5532371215/1000</f>
        <v>5532371.2149999999</v>
      </c>
      <c r="C39" s="6">
        <f>6691938000/1000</f>
        <v>6691938</v>
      </c>
      <c r="D39" s="6">
        <f>7933023878/1000</f>
        <v>7933023.8779999996</v>
      </c>
    </row>
    <row r="40" spans="1:4" x14ac:dyDescent="0.15">
      <c r="A40" s="2" t="s">
        <v>94</v>
      </c>
      <c r="B40" s="6">
        <f>2049108368/1000</f>
        <v>2049108.368</v>
      </c>
      <c r="C40" s="6">
        <f>2368362135/1000</f>
        <v>2368362.1349999998</v>
      </c>
      <c r="D40" s="6">
        <f>2472228595/1000</f>
        <v>2472228.5950000002</v>
      </c>
    </row>
    <row r="41" spans="1:4" x14ac:dyDescent="0.15">
      <c r="A41" s="2" t="s">
        <v>95</v>
      </c>
      <c r="B41" s="6">
        <f>3483262847/1000</f>
        <v>3483262.8470000001</v>
      </c>
      <c r="C41" s="6">
        <f>4323575865/1000</f>
        <v>4323575.8650000002</v>
      </c>
      <c r="D41" s="6">
        <f>5460795283/1000</f>
        <v>5460795.2829999998</v>
      </c>
    </row>
    <row r="42" spans="1:4" x14ac:dyDescent="0.15">
      <c r="A42" s="2" t="s">
        <v>96</v>
      </c>
      <c r="B42" s="6">
        <f>B39-B40-B41</f>
        <v>0</v>
      </c>
      <c r="C42" s="6">
        <f>C39-C40-C41</f>
        <v>0</v>
      </c>
      <c r="D42" s="6">
        <f t="shared" ref="D42" si="10">D39-D40-D41</f>
        <v>0</v>
      </c>
    </row>
    <row r="44" spans="1:4" x14ac:dyDescent="0.15">
      <c r="A44" s="2" t="s">
        <v>101</v>
      </c>
    </row>
    <row r="45" spans="1:4" x14ac:dyDescent="0.15">
      <c r="A45" s="2" t="s">
        <v>102</v>
      </c>
      <c r="B45" s="6">
        <f>1465427753/1000</f>
        <v>1465427.753</v>
      </c>
      <c r="C45" s="6">
        <f>2127627043/1000</f>
        <v>2127627.0430000001</v>
      </c>
      <c r="D45" s="6">
        <f>2767856402/1000</f>
        <v>2767856.4019999998</v>
      </c>
    </row>
    <row r="46" spans="1:4" x14ac:dyDescent="0.15">
      <c r="A46" s="2" t="s">
        <v>105</v>
      </c>
      <c r="B46" s="6">
        <f>201313914/1000</f>
        <v>201313.91399999999</v>
      </c>
      <c r="C46" s="6">
        <f>270683235/1000</f>
        <v>270683.23499999999</v>
      </c>
      <c r="D46" s="6">
        <f>279051553/1000</f>
        <v>279051.55300000001</v>
      </c>
    </row>
    <row r="47" spans="1:4" x14ac:dyDescent="0.15">
      <c r="A47" s="2" t="s">
        <v>106</v>
      </c>
      <c r="B47" s="6">
        <f>250997088/1000</f>
        <v>250997.08799999999</v>
      </c>
      <c r="C47" s="6">
        <f>287868810/1000</f>
        <v>287868.81</v>
      </c>
      <c r="D47" s="6">
        <f>288109485/1000</f>
        <v>288109.48499999999</v>
      </c>
    </row>
    <row r="48" spans="1:4" x14ac:dyDescent="0.15">
      <c r="A48" s="2" t="s">
        <v>111</v>
      </c>
      <c r="B48" s="6">
        <f>624451/1000</f>
        <v>624.45100000000002</v>
      </c>
      <c r="C48" s="6">
        <f>1404473/1000</f>
        <v>1404.473</v>
      </c>
      <c r="D48" s="6">
        <f>2739500/1000</f>
        <v>2739.5</v>
      </c>
    </row>
    <row r="49" spans="1:4" x14ac:dyDescent="0.15">
      <c r="A49" s="2" t="s">
        <v>112</v>
      </c>
      <c r="B49" s="6">
        <f>55726757/1000</f>
        <v>55726.756999999998</v>
      </c>
      <c r="C49" s="6">
        <f>72800558/1000</f>
        <v>72800.558000000005</v>
      </c>
      <c r="D49" s="6">
        <f>82551595/1000</f>
        <v>82551.595000000001</v>
      </c>
    </row>
    <row r="50" spans="1:4" x14ac:dyDescent="0.15">
      <c r="A50" s="2" t="s">
        <v>117</v>
      </c>
      <c r="B50" s="6">
        <f>1566300/1000</f>
        <v>1566.3</v>
      </c>
      <c r="C50" s="6">
        <f>1426001/1000</f>
        <v>1426.001</v>
      </c>
      <c r="D50" s="6">
        <f>1778730/1000</f>
        <v>1778.73</v>
      </c>
    </row>
    <row r="52" spans="1:4" x14ac:dyDescent="0.15">
      <c r="A52" s="2" t="s">
        <v>120</v>
      </c>
      <c r="B52" s="6">
        <f>B46+B48</f>
        <v>201938.36499999999</v>
      </c>
      <c r="C52" s="6">
        <f t="shared" ref="C52:D52" si="11">C46+C48</f>
        <v>272087.70799999998</v>
      </c>
      <c r="D52" s="6">
        <f t="shared" si="11"/>
        <v>281791.05300000001</v>
      </c>
    </row>
    <row r="53" spans="1:4" x14ac:dyDescent="0.15">
      <c r="A53" s="2" t="s">
        <v>121</v>
      </c>
      <c r="B53" s="6">
        <f>B49+B50</f>
        <v>57293.057000000001</v>
      </c>
      <c r="C53" s="6">
        <f t="shared" ref="C53:D53" si="12">C49+C50</f>
        <v>74226.559000000008</v>
      </c>
      <c r="D53" s="6">
        <f t="shared" si="12"/>
        <v>84330.324999999997</v>
      </c>
    </row>
    <row r="55" spans="1:4" x14ac:dyDescent="0.15">
      <c r="A55" s="2" t="s">
        <v>124</v>
      </c>
      <c r="B55" s="6">
        <f>B52+B47-B53</f>
        <v>395642.39599999995</v>
      </c>
      <c r="C55" s="6">
        <f t="shared" ref="C55:D55" si="13">C52+C47-C53</f>
        <v>485729.95899999992</v>
      </c>
      <c r="D55" s="6">
        <f t="shared" si="13"/>
        <v>485570.21299999993</v>
      </c>
    </row>
    <row r="56" spans="1:4" x14ac:dyDescent="0.15">
      <c r="A56" s="2" t="s">
        <v>125</v>
      </c>
      <c r="C56" s="6">
        <f>C55-B55</f>
        <v>90087.562999999966</v>
      </c>
      <c r="D56" s="6">
        <f>D55-C55</f>
        <v>-159.74599999998463</v>
      </c>
    </row>
    <row r="58" spans="1:4" ht="17" x14ac:dyDescent="0.25">
      <c r="A58" s="5" t="s">
        <v>126</v>
      </c>
      <c r="B58" s="16">
        <f>33200563/1000</f>
        <v>33200.563000000002</v>
      </c>
      <c r="C58" s="16">
        <f>47451509/1000</f>
        <v>47451.508999999998</v>
      </c>
      <c r="D58" s="16">
        <f>63872882/1000</f>
        <v>63872.881999999998</v>
      </c>
    </row>
    <row r="59" spans="1:4" ht="32" x14ac:dyDescent="0.25">
      <c r="A59" s="5" t="s">
        <v>127</v>
      </c>
      <c r="B59" s="16">
        <f>50716944/1000</f>
        <v>50716.944000000003</v>
      </c>
      <c r="C59" s="16">
        <f>70871150/1000</f>
        <v>70871.149999999994</v>
      </c>
      <c r="D59" s="6">
        <f>103355278/1000</f>
        <v>103355.27800000001</v>
      </c>
    </row>
    <row r="60" spans="1:4" ht="17" x14ac:dyDescent="0.25">
      <c r="A60" s="5" t="s">
        <v>132</v>
      </c>
      <c r="B60" s="16">
        <f>26222380/1000</f>
        <v>26222.38</v>
      </c>
      <c r="C60" s="16">
        <f>43237354/1000</f>
        <v>43237.353999999999</v>
      </c>
      <c r="D60" s="16">
        <f>118664431/1000</f>
        <v>118664.431</v>
      </c>
    </row>
    <row r="61" spans="1:4" ht="32" x14ac:dyDescent="0.25">
      <c r="A61" s="5" t="s">
        <v>133</v>
      </c>
      <c r="B61" s="16">
        <f>296667931/1000</f>
        <v>296667.93099999998</v>
      </c>
      <c r="C61" s="16">
        <f>451158911/1000</f>
        <v>451158.91100000002</v>
      </c>
      <c r="D61" s="16">
        <f>401124156/1000</f>
        <v>401124.15600000002</v>
      </c>
    </row>
    <row r="63" spans="1:4" ht="15" x14ac:dyDescent="0.15">
      <c r="A63" s="5" t="s">
        <v>138</v>
      </c>
      <c r="B63" s="6">
        <f>52736430/1000</f>
        <v>52736.43</v>
      </c>
      <c r="C63" s="6">
        <f>89435361/1000</f>
        <v>89435.361000000004</v>
      </c>
      <c r="D63" s="6">
        <f>49954384/1000</f>
        <v>49954.383999999998</v>
      </c>
    </row>
    <row r="64" spans="1:4" x14ac:dyDescent="0.15">
      <c r="A64" s="2" t="s">
        <v>141</v>
      </c>
      <c r="B64" s="6">
        <f>114639514/1000</f>
        <v>114639.514</v>
      </c>
      <c r="C64" s="6">
        <f>198602570/1000</f>
        <v>198602.57</v>
      </c>
      <c r="D64" s="6">
        <f>146559275/1000</f>
        <v>146559.27499999999</v>
      </c>
    </row>
    <row r="65" spans="1:5" x14ac:dyDescent="0.15">
      <c r="A65" s="2" t="s">
        <v>142</v>
      </c>
      <c r="B65" s="6">
        <f>163655128/1000</f>
        <v>163655.128</v>
      </c>
      <c r="C65" s="6">
        <f>92499262/1000</f>
        <v>92499.262000000002</v>
      </c>
      <c r="D65" s="6">
        <f>43298936/1000</f>
        <v>43298.936000000002</v>
      </c>
    </row>
    <row r="66" spans="1:5" x14ac:dyDescent="0.15">
      <c r="A66" s="2" t="s">
        <v>147</v>
      </c>
      <c r="B66" s="6">
        <f>37847605/1000</f>
        <v>37847.605000000003</v>
      </c>
      <c r="C66" s="6">
        <f>63185197/1000</f>
        <v>63185.197</v>
      </c>
      <c r="D66" s="6">
        <f>79293379/1000</f>
        <v>79293.379000000001</v>
      </c>
    </row>
    <row r="67" spans="1:5" ht="32" x14ac:dyDescent="0.25">
      <c r="A67" s="5" t="s">
        <v>152</v>
      </c>
      <c r="B67" s="16">
        <f>B61-B63-B64-B66</f>
        <v>91444.381999999983</v>
      </c>
      <c r="C67" s="16">
        <f>C61-C63-C64-C66</f>
        <v>99935.783000000039</v>
      </c>
      <c r="D67" s="16">
        <f>D61-D63-D64-D66</f>
        <v>125317.118</v>
      </c>
    </row>
    <row r="69" spans="1:5" ht="30" x14ac:dyDescent="0.15">
      <c r="A69" s="5" t="s">
        <v>153</v>
      </c>
      <c r="B69" s="6">
        <f>2810551/1000</f>
        <v>2810.5509999999999</v>
      </c>
      <c r="C69" s="6">
        <f>3049032/1000</f>
        <v>3049.0320000000002</v>
      </c>
      <c r="D69" s="6">
        <f>3833015/1000</f>
        <v>3833.0149999999999</v>
      </c>
      <c r="E69" s="6"/>
    </row>
    <row r="70" spans="1:5" ht="30" x14ac:dyDescent="0.15">
      <c r="A70" s="5" t="s">
        <v>158</v>
      </c>
      <c r="B70" s="6">
        <f>B67-B69</f>
        <v>88633.830999999976</v>
      </c>
      <c r="C70" s="6">
        <f>C67-C69</f>
        <v>96886.751000000033</v>
      </c>
      <c r="D70" s="6">
        <f>D67-D69</f>
        <v>121484.103</v>
      </c>
    </row>
    <row r="72" spans="1:5" ht="34" x14ac:dyDescent="0.25">
      <c r="A72" s="25" t="s">
        <v>159</v>
      </c>
      <c r="B72" s="26">
        <f>171484616/1000</f>
        <v>171484.61600000001</v>
      </c>
      <c r="C72" s="26">
        <f>192635173/1000</f>
        <v>192635.17300000001</v>
      </c>
      <c r="D72" s="26">
        <f>177730306/1000</f>
        <v>177730.30600000001</v>
      </c>
      <c r="E72" s="6"/>
    </row>
    <row r="74" spans="1:5" x14ac:dyDescent="0.15">
      <c r="A74" s="4" t="s">
        <v>164</v>
      </c>
    </row>
    <row r="75" spans="1:5" x14ac:dyDescent="0.15">
      <c r="A75" s="2" t="s">
        <v>165</v>
      </c>
    </row>
    <row r="76" spans="1:5" x14ac:dyDescent="0.15">
      <c r="B76" s="2" t="s">
        <v>26</v>
      </c>
      <c r="C76" s="2" t="s">
        <v>27</v>
      </c>
      <c r="D76" s="2" t="s">
        <v>28</v>
      </c>
    </row>
    <row r="78" spans="1:5" ht="15" x14ac:dyDescent="0.15">
      <c r="A78" s="5" t="s">
        <v>166</v>
      </c>
      <c r="B78" s="29">
        <f>897557179/1000</f>
        <v>897557.179</v>
      </c>
      <c r="C78" s="29">
        <f>798507337/1000</f>
        <v>798507.33700000006</v>
      </c>
      <c r="D78" s="29">
        <f>1160977750/1000</f>
        <v>1160977.75</v>
      </c>
    </row>
    <row r="79" spans="1:5" ht="30" x14ac:dyDescent="0.15">
      <c r="A79" s="5" t="s">
        <v>167</v>
      </c>
      <c r="B79" s="29">
        <f>949816825/1000</f>
        <v>949816.82499999995</v>
      </c>
      <c r="C79" s="29">
        <f>956006536/1000</f>
        <v>956006.53599999996</v>
      </c>
      <c r="D79" s="29">
        <f>1272410529/1000</f>
        <v>1272410.5290000001</v>
      </c>
    </row>
    <row r="80" spans="1:5" x14ac:dyDescent="0.15">
      <c r="A80" s="5"/>
      <c r="B80" s="6"/>
      <c r="D80" s="6"/>
    </row>
    <row r="81" spans="1:4" ht="15" x14ac:dyDescent="0.15">
      <c r="A81" s="5" t="s">
        <v>172</v>
      </c>
      <c r="B81" s="6">
        <f>522932671/1000</f>
        <v>522932.67099999997</v>
      </c>
      <c r="C81" s="6">
        <f>653610486/1000</f>
        <v>653610.48600000003</v>
      </c>
      <c r="D81" s="6">
        <f>679683958/1000</f>
        <v>679683.95799999998</v>
      </c>
    </row>
    <row r="82" spans="1:4" ht="15" x14ac:dyDescent="0.15">
      <c r="A82" s="5" t="s">
        <v>173</v>
      </c>
      <c r="B82" s="6">
        <f>9258250/1000</f>
        <v>9258.25</v>
      </c>
      <c r="C82" s="6">
        <f>9186149/1000</f>
        <v>9186.1489999999994</v>
      </c>
      <c r="D82" s="6">
        <f>8412412/1000</f>
        <v>8412.4120000000003</v>
      </c>
    </row>
    <row r="83" spans="1:4" ht="15" x14ac:dyDescent="0.15">
      <c r="A83" s="5" t="s">
        <v>174</v>
      </c>
      <c r="B83" s="6">
        <f>SUM(B81:B82)</f>
        <v>532190.92099999997</v>
      </c>
      <c r="C83" s="6">
        <f>SUM(C81:C82)</f>
        <v>662796.63500000001</v>
      </c>
      <c r="D83" s="6">
        <f>SUM(D81:D82)</f>
        <v>688096.37</v>
      </c>
    </row>
    <row r="84" spans="1:4" ht="30" x14ac:dyDescent="0.15">
      <c r="A84" s="5" t="s">
        <v>175</v>
      </c>
      <c r="B84" s="6">
        <f>5518414/1000</f>
        <v>5518.4139999999998</v>
      </c>
      <c r="C84" s="6">
        <f>8875660/1000</f>
        <v>8875.66</v>
      </c>
      <c r="D84" s="6">
        <f>10146942/1000</f>
        <v>10146.941999999999</v>
      </c>
    </row>
    <row r="85" spans="1:4" ht="15" x14ac:dyDescent="0.15">
      <c r="A85" s="5" t="s">
        <v>176</v>
      </c>
      <c r="B85" s="6">
        <f>B79+B84</f>
        <v>955335.23899999994</v>
      </c>
      <c r="C85" s="6">
        <f>C79+C84</f>
        <v>964882.196</v>
      </c>
      <c r="D85" s="6">
        <f>D79+D84</f>
        <v>1282557.4710000001</v>
      </c>
    </row>
    <row r="86" spans="1:4" x14ac:dyDescent="0.15">
      <c r="B86" s="6"/>
      <c r="D86" s="6"/>
    </row>
    <row r="87" spans="1:4" x14ac:dyDescent="0.15">
      <c r="A87" s="2" t="s">
        <v>177</v>
      </c>
      <c r="B87" s="15">
        <f>B83/B7</f>
        <v>0.24618684249312031</v>
      </c>
      <c r="C87" s="15">
        <f t="shared" ref="C87:D87" si="14">C83/C7</f>
        <v>0.22900005940246093</v>
      </c>
      <c r="D87" s="15">
        <f t="shared" si="14"/>
        <v>0.18064756258742012</v>
      </c>
    </row>
    <row r="88" spans="1:4" x14ac:dyDescent="0.15">
      <c r="A88" s="2" t="s">
        <v>178</v>
      </c>
      <c r="B88" s="15">
        <f>B85/B7</f>
        <v>0.4419296848767934</v>
      </c>
      <c r="C88" s="15">
        <f t="shared" ref="C88:D88" si="15">C85/C7</f>
        <v>0.33337236270123333</v>
      </c>
      <c r="D88" s="15">
        <f t="shared" si="15"/>
        <v>0.33671283720685202</v>
      </c>
    </row>
    <row r="89" spans="1:4" x14ac:dyDescent="0.15">
      <c r="A89" s="2" t="s">
        <v>179</v>
      </c>
      <c r="B89" s="15">
        <f>B55/B7</f>
        <v>0.18302069498786644</v>
      </c>
      <c r="C89" s="15">
        <f t="shared" ref="C89:D89" si="16">C55/C7</f>
        <v>0.16782250179129968</v>
      </c>
      <c r="D89" s="15">
        <f t="shared" si="16"/>
        <v>0.12747789302173532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0FEAE-86C8-744D-AEFA-BD657791A4D7}">
  <dimension ref="A1:I28"/>
  <sheetViews>
    <sheetView workbookViewId="0">
      <selection activeCell="E28" sqref="E28:I28"/>
    </sheetView>
  </sheetViews>
  <sheetFormatPr baseColWidth="10" defaultRowHeight="14" x14ac:dyDescent="0.15"/>
  <cols>
    <col min="1" max="1" width="42.1640625" style="2" customWidth="1"/>
    <col min="2" max="9" width="12.6640625" style="2" bestFit="1" customWidth="1"/>
    <col min="10" max="16384" width="10.83203125" style="2"/>
  </cols>
  <sheetData>
    <row r="1" spans="1:9" x14ac:dyDescent="0.15">
      <c r="A1" s="2" t="s">
        <v>184</v>
      </c>
    </row>
    <row r="2" spans="1:9" x14ac:dyDescent="0.15">
      <c r="A2" s="2" t="s">
        <v>185</v>
      </c>
    </row>
    <row r="4" spans="1:9" x14ac:dyDescent="0.15">
      <c r="B4" s="20" t="s">
        <v>26</v>
      </c>
      <c r="C4" s="20" t="s">
        <v>27</v>
      </c>
      <c r="D4" s="20" t="s">
        <v>28</v>
      </c>
      <c r="E4" s="30" t="s">
        <v>186</v>
      </c>
      <c r="F4" s="30" t="s">
        <v>187</v>
      </c>
      <c r="G4" s="30" t="s">
        <v>188</v>
      </c>
      <c r="H4" s="30" t="s">
        <v>189</v>
      </c>
      <c r="I4" s="30" t="s">
        <v>190</v>
      </c>
    </row>
    <row r="6" spans="1:9" x14ac:dyDescent="0.15">
      <c r="A6" s="2" t="s">
        <v>191</v>
      </c>
    </row>
    <row r="7" spans="1:9" x14ac:dyDescent="0.15">
      <c r="A7" s="2" t="s">
        <v>47</v>
      </c>
      <c r="B7" s="15"/>
      <c r="C7" s="15">
        <f>'Historical Financials'!C15</f>
        <v>0.33888130275025596</v>
      </c>
      <c r="D7" s="15">
        <f>'Historical Financials'!D15</f>
        <v>0.31605021584818016</v>
      </c>
      <c r="E7" s="31">
        <v>0.3</v>
      </c>
      <c r="F7" s="31">
        <v>0.24</v>
      </c>
      <c r="G7" s="31">
        <v>0.2</v>
      </c>
      <c r="H7" s="31">
        <v>0.15</v>
      </c>
      <c r="I7" s="31">
        <v>0.1</v>
      </c>
    </row>
    <row r="8" spans="1:9" x14ac:dyDescent="0.15">
      <c r="A8" s="2" t="s">
        <v>192</v>
      </c>
      <c r="B8" s="15">
        <f>'Historical Financials'!B13</f>
        <v>0.42626189033981976</v>
      </c>
      <c r="C8" s="15">
        <f>'Historical Financials'!C13</f>
        <v>0.45677695238027977</v>
      </c>
      <c r="D8" s="15">
        <f>'Historical Financials'!D13</f>
        <v>0.50828671337975617</v>
      </c>
      <c r="E8" s="31">
        <v>0.52</v>
      </c>
      <c r="F8" s="31">
        <v>0.52</v>
      </c>
      <c r="G8" s="31">
        <v>0.51</v>
      </c>
      <c r="H8" s="31">
        <v>0.5</v>
      </c>
      <c r="I8" s="31">
        <v>0.49</v>
      </c>
    </row>
    <row r="9" spans="1:9" ht="30" x14ac:dyDescent="0.15">
      <c r="A9" s="5" t="s">
        <v>203</v>
      </c>
      <c r="B9" s="15">
        <f>'Historical Financials'!B25</f>
        <v>0.14441171175474496</v>
      </c>
      <c r="C9" s="15">
        <f>'Historical Financials'!C25</f>
        <v>0.1660267901230357</v>
      </c>
      <c r="D9" s="15">
        <f>'Historical Financials'!D25</f>
        <v>0.15980408400830765</v>
      </c>
      <c r="E9" s="31">
        <v>0.17499999999999999</v>
      </c>
      <c r="F9" s="31">
        <v>0.17499999999999999</v>
      </c>
      <c r="G9" s="31">
        <v>0.17499999999999999</v>
      </c>
      <c r="H9" s="31">
        <v>0.17499999999999999</v>
      </c>
      <c r="I9" s="31">
        <v>0.17499999999999999</v>
      </c>
    </row>
    <row r="10" spans="1:9" x14ac:dyDescent="0.15">
      <c r="A10" s="2" t="s">
        <v>177</v>
      </c>
      <c r="B10" s="15">
        <f>'Historical Financials'!B87</f>
        <v>0.24618684249312031</v>
      </c>
      <c r="C10" s="15">
        <f>'Historical Financials'!C87</f>
        <v>0.22900005940246093</v>
      </c>
      <c r="D10" s="15">
        <f>'Historical Financials'!D87</f>
        <v>0.18064756258742012</v>
      </c>
      <c r="E10" s="31">
        <v>0.16500000000000001</v>
      </c>
      <c r="F10" s="31">
        <v>0.17</v>
      </c>
      <c r="G10" s="31">
        <v>0.18</v>
      </c>
      <c r="H10" s="31">
        <v>0.19</v>
      </c>
      <c r="I10" s="31">
        <v>0.2</v>
      </c>
    </row>
    <row r="11" spans="1:9" x14ac:dyDescent="0.15">
      <c r="A11" s="2" t="s">
        <v>178</v>
      </c>
      <c r="B11" s="15">
        <f>'Historical Financials'!B88</f>
        <v>0.4419296848767934</v>
      </c>
      <c r="C11" s="15">
        <f>'Historical Financials'!C88</f>
        <v>0.33337236270123333</v>
      </c>
      <c r="D11" s="15">
        <f>'Historical Financials'!D88</f>
        <v>0.33671283720685202</v>
      </c>
      <c r="E11" s="31">
        <v>0.34499999999999997</v>
      </c>
      <c r="F11" s="31">
        <v>0.34</v>
      </c>
      <c r="G11" s="31">
        <v>0.33</v>
      </c>
      <c r="H11" s="31">
        <v>0.32</v>
      </c>
      <c r="I11" s="31">
        <v>0.31</v>
      </c>
    </row>
    <row r="12" spans="1:9" x14ac:dyDescent="0.15">
      <c r="A12" s="2" t="s">
        <v>214</v>
      </c>
      <c r="B12" s="15">
        <f>B23/B15</f>
        <v>0.10229781539714033</v>
      </c>
      <c r="C12" s="15">
        <f>C23/C15</f>
        <v>7.4210057926532819E-2</v>
      </c>
      <c r="D12" s="15">
        <f>D23/D15</f>
        <v>4.9643369849050011E-2</v>
      </c>
      <c r="E12" s="31">
        <v>0.05</v>
      </c>
      <c r="F12" s="31">
        <v>0.05</v>
      </c>
      <c r="G12" s="31">
        <v>0.05</v>
      </c>
      <c r="H12" s="31">
        <v>0.05</v>
      </c>
      <c r="I12" s="31">
        <v>0.05</v>
      </c>
    </row>
    <row r="14" spans="1:9" x14ac:dyDescent="0.15">
      <c r="A14" s="2" t="s">
        <v>193</v>
      </c>
    </row>
    <row r="15" spans="1:9" x14ac:dyDescent="0.15">
      <c r="A15" s="2" t="s">
        <v>30</v>
      </c>
      <c r="B15" s="6">
        <f>'Historical Financials'!B7</f>
        <v>2161735.841</v>
      </c>
      <c r="C15" s="6">
        <f>'Historical Financials'!C7</f>
        <v>2894307.699</v>
      </c>
      <c r="D15" s="6">
        <f>'Historical Financials'!D7</f>
        <v>3809054.2719999999</v>
      </c>
      <c r="E15" s="6">
        <f>D15*(1+E7)</f>
        <v>4951770.5536000002</v>
      </c>
      <c r="F15" s="6">
        <f t="shared" ref="F15:I15" si="0">E15*(1+F7)</f>
        <v>6140195.4864640003</v>
      </c>
      <c r="G15" s="6">
        <f t="shared" si="0"/>
        <v>7368234.5837567998</v>
      </c>
      <c r="H15" s="6">
        <f t="shared" si="0"/>
        <v>8473469.7713203188</v>
      </c>
      <c r="I15" s="6">
        <f t="shared" si="0"/>
        <v>9320816.7484523524</v>
      </c>
    </row>
    <row r="16" spans="1:9" x14ac:dyDescent="0.15">
      <c r="A16" s="2" t="s">
        <v>194</v>
      </c>
      <c r="B16" s="6">
        <f>'Historical Financials'!B12</f>
        <v>921465.60600000003</v>
      </c>
      <c r="C16" s="6">
        <f>'Historical Financials'!C12</f>
        <v>1322053.05</v>
      </c>
      <c r="D16" s="6">
        <f>'Historical Financials'!D12</f>
        <v>1936091.6769999999</v>
      </c>
      <c r="E16" s="6">
        <f>E15*E8</f>
        <v>2574920.687872</v>
      </c>
      <c r="F16" s="6">
        <f t="shared" ref="F16:I16" si="1">F15*F8</f>
        <v>3192901.6529612802</v>
      </c>
      <c r="G16" s="6">
        <f t="shared" si="1"/>
        <v>3757799.6377159678</v>
      </c>
      <c r="H16" s="6">
        <f t="shared" si="1"/>
        <v>4236734.8856601594</v>
      </c>
      <c r="I16" s="6">
        <f t="shared" si="1"/>
        <v>4567200.2067416525</v>
      </c>
    </row>
    <row r="17" spans="1:9" x14ac:dyDescent="0.15">
      <c r="A17" s="2" t="s">
        <v>195</v>
      </c>
      <c r="E17" s="6">
        <f>E16*E9</f>
        <v>450611.12037759996</v>
      </c>
      <c r="F17" s="6">
        <f t="shared" ref="F17:I17" si="2">F16*F9</f>
        <v>558757.78926822403</v>
      </c>
      <c r="G17" s="6">
        <f t="shared" si="2"/>
        <v>657614.93660029431</v>
      </c>
      <c r="H17" s="6">
        <f t="shared" si="2"/>
        <v>741428.60499052785</v>
      </c>
      <c r="I17" s="6">
        <f t="shared" si="2"/>
        <v>799260.03617978911</v>
      </c>
    </row>
    <row r="18" spans="1:9" x14ac:dyDescent="0.15">
      <c r="A18" s="2" t="s">
        <v>196</v>
      </c>
      <c r="E18" s="6">
        <f>E16-E17</f>
        <v>2124309.5674943998</v>
      </c>
      <c r="F18" s="6">
        <f t="shared" ref="F18:I18" si="3">F16-F17</f>
        <v>2634143.8636930562</v>
      </c>
      <c r="G18" s="6">
        <f t="shared" si="3"/>
        <v>3100184.7011156734</v>
      </c>
      <c r="H18" s="6">
        <f t="shared" si="3"/>
        <v>3495306.2806696314</v>
      </c>
      <c r="I18" s="6">
        <f t="shared" si="3"/>
        <v>3767940.1705618631</v>
      </c>
    </row>
    <row r="20" spans="1:9" x14ac:dyDescent="0.15">
      <c r="A20" s="2" t="s">
        <v>197</v>
      </c>
    </row>
    <row r="21" spans="1:9" x14ac:dyDescent="0.15">
      <c r="A21" s="2" t="s">
        <v>198</v>
      </c>
      <c r="E21" s="6">
        <f>E15*E10</f>
        <v>817042.14134400012</v>
      </c>
      <c r="F21" s="6">
        <f t="shared" ref="F21:I21" si="4">F15*F10</f>
        <v>1043833.2326988801</v>
      </c>
      <c r="G21" s="6">
        <f t="shared" si="4"/>
        <v>1326282.225076224</v>
      </c>
      <c r="H21" s="6">
        <f t="shared" si="4"/>
        <v>1609959.2565508606</v>
      </c>
      <c r="I21" s="6">
        <f t="shared" si="4"/>
        <v>1864163.3496904706</v>
      </c>
    </row>
    <row r="22" spans="1:9" x14ac:dyDescent="0.15">
      <c r="A22" s="2" t="s">
        <v>199</v>
      </c>
      <c r="E22" s="6">
        <f>E15*E11</f>
        <v>1708360.840992</v>
      </c>
      <c r="F22" s="6">
        <f t="shared" ref="F22:I22" si="5">F15*F11</f>
        <v>2087666.4653977603</v>
      </c>
      <c r="G22" s="6">
        <f t="shared" si="5"/>
        <v>2431517.4126397441</v>
      </c>
      <c r="H22" s="6">
        <f t="shared" si="5"/>
        <v>2711510.3268225021</v>
      </c>
      <c r="I22" s="6">
        <f t="shared" si="5"/>
        <v>2889453.1920202291</v>
      </c>
    </row>
    <row r="23" spans="1:9" x14ac:dyDescent="0.15">
      <c r="A23" s="2" t="s">
        <v>200</v>
      </c>
      <c r="B23" s="6">
        <f>'Historical Financials'!B55-'Historical Financials'!B58-'Historical Financials'!B59-'Historical Financials'!B63-'Historical Financials'!B66</f>
        <v>221140.8539999999</v>
      </c>
      <c r="C23" s="6">
        <f>'Historical Financials'!C55-'Historical Financials'!C58-'Historical Financials'!C59-'Historical Financials'!C63-'Historical Financials'!C66</f>
        <v>214786.74199999991</v>
      </c>
      <c r="D23" s="6">
        <f>'Historical Financials'!D55-'Historical Financials'!D58-'Historical Financials'!D59-'Historical Financials'!D63-'Historical Financials'!D66</f>
        <v>189094.28999999992</v>
      </c>
      <c r="E23" s="6">
        <f>E15*E12</f>
        <v>247588.52768000003</v>
      </c>
      <c r="F23" s="6">
        <f t="shared" ref="F23:I23" si="6">F15*F12</f>
        <v>307009.77432320005</v>
      </c>
      <c r="G23" s="6">
        <f t="shared" si="6"/>
        <v>368411.72918784001</v>
      </c>
      <c r="H23" s="6">
        <f t="shared" si="6"/>
        <v>423673.48856601596</v>
      </c>
      <c r="I23" s="6">
        <f t="shared" si="6"/>
        <v>466040.83742261765</v>
      </c>
    </row>
    <row r="24" spans="1:9" x14ac:dyDescent="0.15">
      <c r="A24" s="2" t="s">
        <v>201</v>
      </c>
      <c r="E24" s="6">
        <f>E23-D23</f>
        <v>58494.237680000108</v>
      </c>
      <c r="F24" s="6">
        <f t="shared" ref="F24:I24" si="7">F23-E23</f>
        <v>59421.246643200022</v>
      </c>
      <c r="G24" s="6">
        <f t="shared" si="7"/>
        <v>61401.954864639963</v>
      </c>
      <c r="H24" s="6">
        <f t="shared" si="7"/>
        <v>55261.75937817595</v>
      </c>
      <c r="I24" s="6">
        <f t="shared" si="7"/>
        <v>42367.348856601689</v>
      </c>
    </row>
    <row r="25" spans="1:9" x14ac:dyDescent="0.15">
      <c r="A25" s="2" t="s">
        <v>202</v>
      </c>
      <c r="E25" s="6">
        <f>E18+E21-E22-E24-E26</f>
        <v>1164593.0890591999</v>
      </c>
      <c r="F25" s="6">
        <f t="shared" ref="F25:I25" si="8">F18+F21-F22-F24-F26</f>
        <v>1518608.9933780481</v>
      </c>
      <c r="G25" s="6">
        <f t="shared" si="8"/>
        <v>1918811.0895199995</v>
      </c>
      <c r="H25" s="6">
        <f t="shared" si="8"/>
        <v>2321546.5114771738</v>
      </c>
      <c r="I25" s="6">
        <f t="shared" si="8"/>
        <v>2681641.3458785983</v>
      </c>
    </row>
    <row r="26" spans="1:9" ht="30" x14ac:dyDescent="0.15">
      <c r="A26" s="5" t="s">
        <v>208</v>
      </c>
      <c r="E26" s="6">
        <f>E15*E28</f>
        <v>9903.5411072000006</v>
      </c>
      <c r="F26" s="6">
        <f t="shared" ref="F26:I26" si="9">F15*F28</f>
        <v>12280.390972928</v>
      </c>
      <c r="G26" s="6">
        <f t="shared" si="9"/>
        <v>14736.4691675136</v>
      </c>
      <c r="H26" s="6">
        <f t="shared" si="9"/>
        <v>16946.939542640637</v>
      </c>
      <c r="I26" s="6">
        <f t="shared" si="9"/>
        <v>18641.633496904706</v>
      </c>
    </row>
    <row r="27" spans="1:9" x14ac:dyDescent="0.15">
      <c r="A27" s="5"/>
    </row>
    <row r="28" spans="1:9" ht="30" x14ac:dyDescent="0.15">
      <c r="A28" s="5" t="s">
        <v>209</v>
      </c>
      <c r="E28" s="32">
        <v>2E-3</v>
      </c>
      <c r="F28" s="32">
        <v>2E-3</v>
      </c>
      <c r="G28" s="32">
        <v>2E-3</v>
      </c>
      <c r="H28" s="32">
        <v>2E-3</v>
      </c>
      <c r="I28" s="32">
        <v>2E-3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C6E65-D1BA-CF4E-B860-319EB8E19FDE}">
  <dimension ref="A1:B187"/>
  <sheetViews>
    <sheetView workbookViewId="0">
      <selection activeCell="C5" sqref="C5"/>
    </sheetView>
  </sheetViews>
  <sheetFormatPr baseColWidth="10" defaultRowHeight="16" x14ac:dyDescent="0.2"/>
  <cols>
    <col min="1" max="1" width="34.1640625" style="17" customWidth="1"/>
    <col min="2" max="2" width="16.1640625" customWidth="1"/>
  </cols>
  <sheetData>
    <row r="1" spans="1:2" ht="17" x14ac:dyDescent="0.2">
      <c r="A1" s="18" t="s">
        <v>215</v>
      </c>
      <c r="B1" s="1"/>
    </row>
    <row r="2" spans="1:2" ht="34" x14ac:dyDescent="0.2">
      <c r="A2" s="18" t="s">
        <v>216</v>
      </c>
      <c r="B2" s="1"/>
    </row>
    <row r="3" spans="1:2" ht="17" x14ac:dyDescent="0.2">
      <c r="A3" s="18" t="s">
        <v>217</v>
      </c>
      <c r="B3" s="1" t="s">
        <v>218</v>
      </c>
    </row>
    <row r="4" spans="1:2" ht="17" x14ac:dyDescent="0.2">
      <c r="A4" s="18" t="s">
        <v>219</v>
      </c>
      <c r="B4" s="1"/>
    </row>
    <row r="5" spans="1:2" ht="17" x14ac:dyDescent="0.2">
      <c r="A5" s="18" t="s">
        <v>220</v>
      </c>
      <c r="B5" s="38">
        <f>B26-B27</f>
        <v>9.1500000000000001E-3</v>
      </c>
    </row>
    <row r="6" spans="1:2" ht="17" x14ac:dyDescent="0.2">
      <c r="A6" s="18" t="s">
        <v>221</v>
      </c>
      <c r="B6" s="42">
        <f>IF(COUNT(B13,B17:B18)=3,$B$28*(1+(1-B13)*B18/B17),"")</f>
        <v>1.524781855779809</v>
      </c>
    </row>
    <row r="7" spans="1:2" ht="17" x14ac:dyDescent="0.2">
      <c r="A7" s="18" t="s">
        <v>222</v>
      </c>
      <c r="B7" s="35">
        <v>4.2299999999999997E-2</v>
      </c>
    </row>
    <row r="8" spans="1:2" ht="34" x14ac:dyDescent="0.2">
      <c r="A8" s="18" t="s">
        <v>223</v>
      </c>
      <c r="B8" s="35">
        <v>7.7999999999999996E-3</v>
      </c>
    </row>
    <row r="9" spans="1:2" ht="17" x14ac:dyDescent="0.2">
      <c r="A9" s="18" t="s">
        <v>219</v>
      </c>
      <c r="B9" s="35">
        <f>IF(COUNT(B5:B8)=4,B5+B6*B7+B8,"")</f>
        <v>8.1448272499485927E-2</v>
      </c>
    </row>
    <row r="10" spans="1:2" x14ac:dyDescent="0.2">
      <c r="A10" s="18"/>
      <c r="B10" s="1"/>
    </row>
    <row r="11" spans="1:2" ht="17" x14ac:dyDescent="0.2">
      <c r="A11" s="18" t="s">
        <v>224</v>
      </c>
      <c r="B11" s="1"/>
    </row>
    <row r="12" spans="1:2" ht="34" x14ac:dyDescent="0.2">
      <c r="A12" s="18" t="s">
        <v>225</v>
      </c>
      <c r="B12" s="35">
        <f>B26+B43</f>
        <v>2.0500000000000001E-2</v>
      </c>
    </row>
    <row r="13" spans="1:2" ht="17" x14ac:dyDescent="0.2">
      <c r="A13" s="18" t="s">
        <v>226</v>
      </c>
      <c r="B13" s="43">
        <v>0.2</v>
      </c>
    </row>
    <row r="14" spans="1:2" ht="17" x14ac:dyDescent="0.2">
      <c r="A14" s="18" t="s">
        <v>227</v>
      </c>
      <c r="B14" s="35">
        <f>IF(COUNT(B12:B13)=2,B12*(1-B13),"")</f>
        <v>1.6400000000000001E-2</v>
      </c>
    </row>
    <row r="15" spans="1:2" x14ac:dyDescent="0.2">
      <c r="A15" s="18"/>
      <c r="B15" s="1"/>
    </row>
    <row r="16" spans="1:2" ht="17" x14ac:dyDescent="0.2">
      <c r="A16" s="18" t="s">
        <v>228</v>
      </c>
      <c r="B16" s="1"/>
    </row>
    <row r="17" spans="1:2" ht="34" x14ac:dyDescent="0.2">
      <c r="A17" s="18" t="s">
        <v>229</v>
      </c>
      <c r="B17" s="36">
        <f>IF(COUNT(B38,B40)=2,B38*B40,"")</f>
        <v>51735385.380000003</v>
      </c>
    </row>
    <row r="18" spans="1:2" ht="34" x14ac:dyDescent="0.2">
      <c r="A18" s="18" t="s">
        <v>230</v>
      </c>
      <c r="B18" s="36">
        <f>B37</f>
        <v>1068415.716</v>
      </c>
    </row>
    <row r="19" spans="1:2" ht="17" x14ac:dyDescent="0.2">
      <c r="A19" s="18" t="s">
        <v>231</v>
      </c>
      <c r="B19" s="35">
        <f>IF(COUNT(B17:B18)=2,B17/SUM(B17:B18),"")</f>
        <v>0.97976631049614094</v>
      </c>
    </row>
    <row r="20" spans="1:2" ht="17" x14ac:dyDescent="0.2">
      <c r="A20" s="18" t="s">
        <v>232</v>
      </c>
      <c r="B20" s="35">
        <f>IF(COUNT(B17:B18)=2,B18/SUM(B17:B18),"")</f>
        <v>2.023368950385912E-2</v>
      </c>
    </row>
    <row r="21" spans="1:2" ht="17" x14ac:dyDescent="0.2">
      <c r="A21" s="18" t="s">
        <v>233</v>
      </c>
      <c r="B21" s="37">
        <f>IF(COUNT(B19:B20)=2,SUM(B19:B20)-1,"")</f>
        <v>0</v>
      </c>
    </row>
    <row r="22" spans="1:2" x14ac:dyDescent="0.2">
      <c r="A22" s="18"/>
      <c r="B22" s="1"/>
    </row>
    <row r="23" spans="1:2" ht="17" x14ac:dyDescent="0.2">
      <c r="A23" s="18" t="s">
        <v>234</v>
      </c>
      <c r="B23" s="35">
        <f>IF(COUNT(B9,B14,B19,B20)=4,B9*B19+B14*B20,"")</f>
        <v>8.013210595096891E-2</v>
      </c>
    </row>
    <row r="24" spans="1:2" x14ac:dyDescent="0.2">
      <c r="A24" s="18"/>
      <c r="B24" s="1"/>
    </row>
    <row r="25" spans="1:2" ht="17" x14ac:dyDescent="0.2">
      <c r="A25" s="18" t="s">
        <v>235</v>
      </c>
      <c r="B25" s="1" t="s">
        <v>218</v>
      </c>
    </row>
    <row r="26" spans="1:2" ht="34" x14ac:dyDescent="0.2">
      <c r="A26" s="18" t="s">
        <v>236</v>
      </c>
      <c r="B26" s="38">
        <v>1.4250000000000001E-2</v>
      </c>
    </row>
    <row r="27" spans="1:2" ht="34" x14ac:dyDescent="0.2">
      <c r="A27" s="18" t="s">
        <v>237</v>
      </c>
      <c r="B27" s="35">
        <v>5.1000000000000004E-3</v>
      </c>
    </row>
    <row r="28" spans="1:2" ht="34" x14ac:dyDescent="0.2">
      <c r="A28" s="18" t="s">
        <v>238</v>
      </c>
      <c r="B28" s="39">
        <v>1.5</v>
      </c>
    </row>
    <row r="29" spans="1:2" x14ac:dyDescent="0.2">
      <c r="A29" s="18"/>
      <c r="B29" s="1"/>
    </row>
    <row r="30" spans="1:2" x14ac:dyDescent="0.2">
      <c r="A30" s="18"/>
      <c r="B30" s="1"/>
    </row>
    <row r="31" spans="1:2" ht="34" x14ac:dyDescent="0.2">
      <c r="A31" s="24" t="s">
        <v>245</v>
      </c>
      <c r="B31" s="24" t="s">
        <v>218</v>
      </c>
    </row>
    <row r="32" spans="1:2" ht="17" x14ac:dyDescent="0.2">
      <c r="A32" s="24" t="s">
        <v>246</v>
      </c>
      <c r="B32" s="40">
        <f>136925710/1000</f>
        <v>136925.71</v>
      </c>
    </row>
    <row r="33" spans="1:2" ht="17" x14ac:dyDescent="0.2">
      <c r="A33" s="24" t="s">
        <v>247</v>
      </c>
      <c r="B33" s="40">
        <f>856227503/1000</f>
        <v>856227.50300000003</v>
      </c>
    </row>
    <row r="34" spans="1:2" ht="17" x14ac:dyDescent="0.2">
      <c r="A34" s="24" t="s">
        <v>248</v>
      </c>
      <c r="B34" s="40">
        <f>39834496/1000</f>
        <v>39834.495999999999</v>
      </c>
    </row>
    <row r="35" spans="1:2" ht="17" x14ac:dyDescent="0.2">
      <c r="A35" s="24" t="s">
        <v>249</v>
      </c>
      <c r="B35" s="40">
        <f>'Historical Financials'!D69</f>
        <v>3833.0149999999999</v>
      </c>
    </row>
    <row r="36" spans="1:2" ht="17" x14ac:dyDescent="0.2">
      <c r="A36" s="24" t="s">
        <v>250</v>
      </c>
      <c r="B36" s="40">
        <f>31594992/1000</f>
        <v>31594.991999999998</v>
      </c>
    </row>
    <row r="37" spans="1:2" ht="34" x14ac:dyDescent="0.2">
      <c r="A37" s="24" t="s">
        <v>251</v>
      </c>
      <c r="B37" s="40">
        <f>SUM(B32:B36)</f>
        <v>1068415.716</v>
      </c>
    </row>
    <row r="38" spans="1:2" ht="17" x14ac:dyDescent="0.2">
      <c r="A38" s="24" t="s">
        <v>252</v>
      </c>
      <c r="B38" s="40">
        <f>25932524/1000</f>
        <v>25932.524000000001</v>
      </c>
    </row>
    <row r="39" spans="1:2" x14ac:dyDescent="0.2">
      <c r="A39" s="18"/>
      <c r="B39" s="1"/>
    </row>
    <row r="40" spans="1:2" ht="34" x14ac:dyDescent="0.2">
      <c r="A40" s="18" t="s">
        <v>253</v>
      </c>
      <c r="B40" s="1">
        <v>1995</v>
      </c>
    </row>
    <row r="41" spans="1:2" x14ac:dyDescent="0.2">
      <c r="A41" s="18"/>
      <c r="B41" s="1"/>
    </row>
    <row r="42" spans="1:2" ht="34" x14ac:dyDescent="0.2">
      <c r="A42" s="18" t="s">
        <v>258</v>
      </c>
      <c r="B42" s="41">
        <f>DATE(2026,2,27)</f>
        <v>46080</v>
      </c>
    </row>
    <row r="43" spans="1:2" ht="34" x14ac:dyDescent="0.2">
      <c r="A43" s="18" t="s">
        <v>259</v>
      </c>
      <c r="B43" s="38">
        <v>6.2500000000000003E-3</v>
      </c>
    </row>
    <row r="44" spans="1:2" x14ac:dyDescent="0.2">
      <c r="A44" s="18"/>
      <c r="B44" s="1"/>
    </row>
    <row r="45" spans="1:2" x14ac:dyDescent="0.2">
      <c r="A45" s="18"/>
      <c r="B45" s="1"/>
    </row>
    <row r="46" spans="1:2" x14ac:dyDescent="0.2">
      <c r="A46" s="18"/>
      <c r="B46" s="1"/>
    </row>
    <row r="47" spans="1:2" x14ac:dyDescent="0.2">
      <c r="A47" s="18"/>
      <c r="B47" s="1"/>
    </row>
    <row r="48" spans="1:2" x14ac:dyDescent="0.2">
      <c r="A48" s="18"/>
      <c r="B48" s="1"/>
    </row>
    <row r="49" spans="1:2" x14ac:dyDescent="0.2">
      <c r="A49" s="18"/>
      <c r="B49" s="1"/>
    </row>
    <row r="50" spans="1:2" x14ac:dyDescent="0.2">
      <c r="A50" s="18"/>
      <c r="B50" s="1"/>
    </row>
    <row r="51" spans="1:2" x14ac:dyDescent="0.2">
      <c r="A51" s="18"/>
      <c r="B51" s="1"/>
    </row>
    <row r="52" spans="1:2" x14ac:dyDescent="0.2">
      <c r="A52" s="18"/>
      <c r="B52" s="1"/>
    </row>
    <row r="53" spans="1:2" x14ac:dyDescent="0.2">
      <c r="A53" s="18"/>
      <c r="B53" s="1"/>
    </row>
    <row r="54" spans="1:2" x14ac:dyDescent="0.2">
      <c r="A54" s="18"/>
      <c r="B54" s="1"/>
    </row>
    <row r="55" spans="1:2" x14ac:dyDescent="0.2">
      <c r="A55" s="18"/>
      <c r="B55" s="1"/>
    </row>
    <row r="56" spans="1:2" x14ac:dyDescent="0.2">
      <c r="A56" s="18"/>
      <c r="B56" s="1"/>
    </row>
    <row r="57" spans="1:2" x14ac:dyDescent="0.2">
      <c r="A57" s="18"/>
      <c r="B57" s="1"/>
    </row>
    <row r="58" spans="1:2" x14ac:dyDescent="0.2">
      <c r="A58" s="18"/>
      <c r="B58" s="1"/>
    </row>
    <row r="59" spans="1:2" x14ac:dyDescent="0.2">
      <c r="A59" s="18"/>
      <c r="B59" s="1"/>
    </row>
    <row r="60" spans="1:2" x14ac:dyDescent="0.2">
      <c r="A60" s="18"/>
      <c r="B60" s="1"/>
    </row>
    <row r="61" spans="1:2" x14ac:dyDescent="0.2">
      <c r="A61" s="18"/>
      <c r="B61" s="1"/>
    </row>
    <row r="62" spans="1:2" x14ac:dyDescent="0.2">
      <c r="A62" s="18"/>
      <c r="B62" s="1"/>
    </row>
    <row r="63" spans="1:2" x14ac:dyDescent="0.2">
      <c r="A63" s="18"/>
      <c r="B63" s="1"/>
    </row>
    <row r="64" spans="1:2" x14ac:dyDescent="0.2">
      <c r="A64" s="18"/>
      <c r="B64" s="1"/>
    </row>
    <row r="65" spans="1:2" x14ac:dyDescent="0.2">
      <c r="A65" s="18"/>
      <c r="B65" s="1"/>
    </row>
    <row r="66" spans="1:2" x14ac:dyDescent="0.2">
      <c r="A66" s="18"/>
      <c r="B66" s="1"/>
    </row>
    <row r="67" spans="1:2" x14ac:dyDescent="0.2">
      <c r="A67" s="18"/>
      <c r="B67" s="1"/>
    </row>
    <row r="68" spans="1:2" x14ac:dyDescent="0.2">
      <c r="A68" s="18"/>
      <c r="B68" s="1"/>
    </row>
    <row r="69" spans="1:2" x14ac:dyDescent="0.2">
      <c r="A69" s="18"/>
      <c r="B69" s="1"/>
    </row>
    <row r="70" spans="1:2" x14ac:dyDescent="0.2">
      <c r="A70" s="18"/>
      <c r="B70" s="1"/>
    </row>
    <row r="71" spans="1:2" x14ac:dyDescent="0.2">
      <c r="A71" s="18"/>
      <c r="B71" s="1"/>
    </row>
    <row r="72" spans="1:2" x14ac:dyDescent="0.2">
      <c r="A72" s="18"/>
      <c r="B72" s="1"/>
    </row>
    <row r="73" spans="1:2" x14ac:dyDescent="0.2">
      <c r="A73" s="18"/>
      <c r="B73" s="1"/>
    </row>
    <row r="74" spans="1:2" x14ac:dyDescent="0.2">
      <c r="A74" s="18"/>
      <c r="B74" s="1"/>
    </row>
    <row r="75" spans="1:2" x14ac:dyDescent="0.2">
      <c r="A75" s="18"/>
      <c r="B75" s="1"/>
    </row>
    <row r="76" spans="1:2" x14ac:dyDescent="0.2">
      <c r="A76" s="18"/>
      <c r="B76" s="1"/>
    </row>
    <row r="77" spans="1:2" x14ac:dyDescent="0.2">
      <c r="A77" s="18"/>
      <c r="B77" s="1"/>
    </row>
    <row r="78" spans="1:2" x14ac:dyDescent="0.2">
      <c r="A78" s="18"/>
      <c r="B78" s="1"/>
    </row>
    <row r="79" spans="1:2" x14ac:dyDescent="0.2">
      <c r="A79" s="18"/>
      <c r="B79" s="1"/>
    </row>
    <row r="80" spans="1:2" x14ac:dyDescent="0.2">
      <c r="A80" s="18"/>
      <c r="B80" s="1"/>
    </row>
    <row r="81" spans="1:2" x14ac:dyDescent="0.2">
      <c r="A81" s="18"/>
      <c r="B81" s="1"/>
    </row>
    <row r="82" spans="1:2" x14ac:dyDescent="0.2">
      <c r="A82" s="18"/>
      <c r="B82" s="1"/>
    </row>
    <row r="83" spans="1:2" x14ac:dyDescent="0.2">
      <c r="A83" s="18"/>
      <c r="B83" s="1"/>
    </row>
    <row r="84" spans="1:2" x14ac:dyDescent="0.2">
      <c r="A84" s="18"/>
      <c r="B84" s="1"/>
    </row>
    <row r="85" spans="1:2" x14ac:dyDescent="0.2">
      <c r="A85" s="18"/>
      <c r="B85" s="1"/>
    </row>
    <row r="86" spans="1:2" x14ac:dyDescent="0.2">
      <c r="A86" s="18"/>
      <c r="B86" s="1"/>
    </row>
    <row r="87" spans="1:2" x14ac:dyDescent="0.2">
      <c r="A87" s="18"/>
      <c r="B87" s="1"/>
    </row>
    <row r="88" spans="1:2" x14ac:dyDescent="0.2">
      <c r="A88" s="18"/>
      <c r="B88" s="1"/>
    </row>
    <row r="89" spans="1:2" x14ac:dyDescent="0.2">
      <c r="A89" s="18"/>
      <c r="B89" s="1"/>
    </row>
    <row r="90" spans="1:2" x14ac:dyDescent="0.2">
      <c r="A90" s="18"/>
      <c r="B90" s="1"/>
    </row>
    <row r="91" spans="1:2" x14ac:dyDescent="0.2">
      <c r="A91" s="18"/>
      <c r="B91" s="1"/>
    </row>
    <row r="92" spans="1:2" x14ac:dyDescent="0.2">
      <c r="A92" s="18"/>
      <c r="B92" s="1"/>
    </row>
    <row r="93" spans="1:2" x14ac:dyDescent="0.2">
      <c r="A93" s="18"/>
      <c r="B93" s="1"/>
    </row>
    <row r="94" spans="1:2" x14ac:dyDescent="0.2">
      <c r="A94" s="18"/>
      <c r="B94" s="1"/>
    </row>
    <row r="95" spans="1:2" x14ac:dyDescent="0.2">
      <c r="A95" s="18"/>
      <c r="B95" s="1"/>
    </row>
    <row r="96" spans="1:2" x14ac:dyDescent="0.2">
      <c r="A96" s="18"/>
      <c r="B96" s="1"/>
    </row>
    <row r="97" spans="1:2" x14ac:dyDescent="0.2">
      <c r="A97" s="18"/>
      <c r="B97" s="1"/>
    </row>
    <row r="98" spans="1:2" x14ac:dyDescent="0.2">
      <c r="A98" s="18"/>
      <c r="B98" s="1"/>
    </row>
    <row r="99" spans="1:2" x14ac:dyDescent="0.2">
      <c r="A99" s="18"/>
      <c r="B99" s="1"/>
    </row>
    <row r="100" spans="1:2" x14ac:dyDescent="0.2">
      <c r="A100" s="18"/>
      <c r="B100" s="1"/>
    </row>
    <row r="101" spans="1:2" x14ac:dyDescent="0.2">
      <c r="A101" s="18"/>
      <c r="B101" s="1"/>
    </row>
    <row r="102" spans="1:2" x14ac:dyDescent="0.2">
      <c r="A102" s="18"/>
      <c r="B102" s="1"/>
    </row>
    <row r="103" spans="1:2" x14ac:dyDescent="0.2">
      <c r="A103" s="18"/>
      <c r="B103" s="1"/>
    </row>
    <row r="104" spans="1:2" x14ac:dyDescent="0.2">
      <c r="A104" s="18"/>
      <c r="B104" s="1"/>
    </row>
    <row r="105" spans="1:2" x14ac:dyDescent="0.2">
      <c r="A105" s="18"/>
      <c r="B105" s="1"/>
    </row>
    <row r="106" spans="1:2" x14ac:dyDescent="0.2">
      <c r="A106" s="18"/>
      <c r="B106" s="1"/>
    </row>
    <row r="107" spans="1:2" x14ac:dyDescent="0.2">
      <c r="A107" s="18"/>
      <c r="B107" s="1"/>
    </row>
    <row r="108" spans="1:2" x14ac:dyDescent="0.2">
      <c r="A108" s="18"/>
      <c r="B108" s="1"/>
    </row>
    <row r="109" spans="1:2" x14ac:dyDescent="0.2">
      <c r="A109" s="18"/>
      <c r="B109" s="1"/>
    </row>
    <row r="110" spans="1:2" x14ac:dyDescent="0.2">
      <c r="A110" s="18"/>
      <c r="B110" s="1"/>
    </row>
    <row r="111" spans="1:2" x14ac:dyDescent="0.2">
      <c r="A111" s="18"/>
      <c r="B111" s="1"/>
    </row>
    <row r="112" spans="1:2" x14ac:dyDescent="0.2">
      <c r="A112" s="18"/>
      <c r="B112" s="1"/>
    </row>
    <row r="113" spans="1:2" x14ac:dyDescent="0.2">
      <c r="A113" s="18"/>
      <c r="B113" s="1"/>
    </row>
    <row r="114" spans="1:2" x14ac:dyDescent="0.2">
      <c r="A114" s="18"/>
      <c r="B114" s="1"/>
    </row>
    <row r="115" spans="1:2" x14ac:dyDescent="0.2">
      <c r="A115" s="18"/>
      <c r="B115" s="1"/>
    </row>
    <row r="116" spans="1:2" x14ac:dyDescent="0.2">
      <c r="A116" s="18"/>
      <c r="B116" s="1"/>
    </row>
    <row r="117" spans="1:2" x14ac:dyDescent="0.2">
      <c r="A117" s="18"/>
      <c r="B117" s="1"/>
    </row>
    <row r="118" spans="1:2" x14ac:dyDescent="0.2">
      <c r="A118" s="18"/>
      <c r="B118" s="1"/>
    </row>
    <row r="119" spans="1:2" x14ac:dyDescent="0.2">
      <c r="A119" s="18"/>
      <c r="B119" s="1"/>
    </row>
    <row r="120" spans="1:2" x14ac:dyDescent="0.2">
      <c r="A120" s="18"/>
      <c r="B120" s="1"/>
    </row>
    <row r="121" spans="1:2" x14ac:dyDescent="0.2">
      <c r="A121" s="18"/>
      <c r="B121" s="1"/>
    </row>
    <row r="122" spans="1:2" x14ac:dyDescent="0.2">
      <c r="A122" s="18"/>
      <c r="B122" s="1"/>
    </row>
    <row r="123" spans="1:2" x14ac:dyDescent="0.2">
      <c r="A123" s="18"/>
      <c r="B123" s="1"/>
    </row>
    <row r="124" spans="1:2" x14ac:dyDescent="0.2">
      <c r="A124" s="18"/>
      <c r="B124" s="1"/>
    </row>
    <row r="125" spans="1:2" x14ac:dyDescent="0.2">
      <c r="A125" s="18"/>
      <c r="B125" s="1"/>
    </row>
    <row r="126" spans="1:2" x14ac:dyDescent="0.2">
      <c r="A126" s="18"/>
      <c r="B126" s="1"/>
    </row>
    <row r="127" spans="1:2" x14ac:dyDescent="0.2">
      <c r="A127" s="18"/>
      <c r="B127" s="1"/>
    </row>
    <row r="128" spans="1:2" x14ac:dyDescent="0.2">
      <c r="A128" s="18"/>
      <c r="B128" s="1"/>
    </row>
    <row r="129" spans="1:2" x14ac:dyDescent="0.2">
      <c r="A129" s="18"/>
      <c r="B129" s="1"/>
    </row>
    <row r="130" spans="1:2" x14ac:dyDescent="0.2">
      <c r="A130" s="18"/>
      <c r="B130" s="1"/>
    </row>
    <row r="131" spans="1:2" x14ac:dyDescent="0.2">
      <c r="A131" s="18"/>
      <c r="B131" s="1"/>
    </row>
    <row r="132" spans="1:2" x14ac:dyDescent="0.2">
      <c r="A132" s="18"/>
      <c r="B132" s="1"/>
    </row>
    <row r="133" spans="1:2" x14ac:dyDescent="0.2">
      <c r="A133" s="18"/>
      <c r="B133" s="1"/>
    </row>
    <row r="134" spans="1:2" x14ac:dyDescent="0.2">
      <c r="A134" s="18"/>
      <c r="B134" s="1"/>
    </row>
    <row r="135" spans="1:2" x14ac:dyDescent="0.2">
      <c r="A135" s="18"/>
      <c r="B135" s="1"/>
    </row>
    <row r="136" spans="1:2" x14ac:dyDescent="0.2">
      <c r="A136" s="18"/>
      <c r="B136" s="1"/>
    </row>
    <row r="137" spans="1:2" x14ac:dyDescent="0.2">
      <c r="A137" s="18"/>
      <c r="B137" s="1"/>
    </row>
    <row r="138" spans="1:2" x14ac:dyDescent="0.2">
      <c r="A138" s="18"/>
      <c r="B138" s="1"/>
    </row>
    <row r="139" spans="1:2" x14ac:dyDescent="0.2">
      <c r="A139" s="18"/>
      <c r="B139" s="1"/>
    </row>
    <row r="140" spans="1:2" x14ac:dyDescent="0.2">
      <c r="A140" s="18"/>
      <c r="B140" s="1"/>
    </row>
    <row r="141" spans="1:2" x14ac:dyDescent="0.2">
      <c r="A141" s="18"/>
      <c r="B141" s="1"/>
    </row>
    <row r="142" spans="1:2" x14ac:dyDescent="0.2">
      <c r="A142" s="18"/>
      <c r="B142" s="1"/>
    </row>
    <row r="143" spans="1:2" x14ac:dyDescent="0.2">
      <c r="A143" s="18"/>
      <c r="B143" s="1"/>
    </row>
    <row r="144" spans="1:2" x14ac:dyDescent="0.2">
      <c r="A144" s="18"/>
      <c r="B144" s="1"/>
    </row>
    <row r="145" spans="1:2" x14ac:dyDescent="0.2">
      <c r="A145" s="18"/>
      <c r="B145" s="1"/>
    </row>
    <row r="146" spans="1:2" x14ac:dyDescent="0.2">
      <c r="A146" s="18"/>
      <c r="B146" s="1"/>
    </row>
    <row r="147" spans="1:2" x14ac:dyDescent="0.2">
      <c r="A147" s="18"/>
      <c r="B147" s="1"/>
    </row>
    <row r="148" spans="1:2" x14ac:dyDescent="0.2">
      <c r="A148" s="18"/>
      <c r="B148" s="1"/>
    </row>
    <row r="149" spans="1:2" x14ac:dyDescent="0.2">
      <c r="A149" s="18"/>
      <c r="B149" s="1"/>
    </row>
    <row r="150" spans="1:2" x14ac:dyDescent="0.2">
      <c r="A150" s="18"/>
      <c r="B150" s="1"/>
    </row>
    <row r="151" spans="1:2" x14ac:dyDescent="0.2">
      <c r="A151" s="18"/>
      <c r="B151" s="1"/>
    </row>
    <row r="152" spans="1:2" x14ac:dyDescent="0.2">
      <c r="A152" s="18"/>
      <c r="B152" s="1"/>
    </row>
    <row r="153" spans="1:2" x14ac:dyDescent="0.2">
      <c r="A153" s="18"/>
      <c r="B153" s="1"/>
    </row>
    <row r="154" spans="1:2" x14ac:dyDescent="0.2">
      <c r="A154" s="18"/>
      <c r="B154" s="1"/>
    </row>
    <row r="155" spans="1:2" x14ac:dyDescent="0.2">
      <c r="A155" s="18"/>
      <c r="B155" s="1"/>
    </row>
    <row r="156" spans="1:2" x14ac:dyDescent="0.2">
      <c r="A156" s="18"/>
      <c r="B156" s="1"/>
    </row>
    <row r="157" spans="1:2" x14ac:dyDescent="0.2">
      <c r="A157" s="18"/>
      <c r="B157" s="1"/>
    </row>
    <row r="158" spans="1:2" x14ac:dyDescent="0.2">
      <c r="A158" s="18"/>
      <c r="B158" s="1"/>
    </row>
    <row r="159" spans="1:2" x14ac:dyDescent="0.2">
      <c r="A159" s="18"/>
      <c r="B159" s="1"/>
    </row>
    <row r="160" spans="1:2" x14ac:dyDescent="0.2">
      <c r="A160" s="18"/>
      <c r="B160" s="1"/>
    </row>
    <row r="161" spans="1:2" x14ac:dyDescent="0.2">
      <c r="A161" s="18"/>
      <c r="B161" s="1"/>
    </row>
    <row r="162" spans="1:2" x14ac:dyDescent="0.2">
      <c r="A162" s="18"/>
      <c r="B162" s="1"/>
    </row>
    <row r="163" spans="1:2" x14ac:dyDescent="0.2">
      <c r="A163" s="18"/>
      <c r="B163" s="1"/>
    </row>
    <row r="164" spans="1:2" x14ac:dyDescent="0.2">
      <c r="A164" s="18"/>
      <c r="B164" s="1"/>
    </row>
    <row r="165" spans="1:2" x14ac:dyDescent="0.2">
      <c r="A165" s="18"/>
      <c r="B165" s="1"/>
    </row>
    <row r="166" spans="1:2" x14ac:dyDescent="0.2">
      <c r="A166" s="18"/>
      <c r="B166" s="1"/>
    </row>
    <row r="167" spans="1:2" x14ac:dyDescent="0.2">
      <c r="A167" s="18"/>
      <c r="B167" s="1"/>
    </row>
    <row r="168" spans="1:2" x14ac:dyDescent="0.2">
      <c r="A168" s="18"/>
      <c r="B168" s="1"/>
    </row>
    <row r="169" spans="1:2" x14ac:dyDescent="0.2">
      <c r="A169" s="18"/>
      <c r="B169" s="1"/>
    </row>
    <row r="170" spans="1:2" x14ac:dyDescent="0.2">
      <c r="A170" s="18"/>
      <c r="B170" s="1"/>
    </row>
    <row r="171" spans="1:2" x14ac:dyDescent="0.2">
      <c r="A171" s="18"/>
      <c r="B171" s="1"/>
    </row>
    <row r="172" spans="1:2" x14ac:dyDescent="0.2">
      <c r="A172" s="18"/>
      <c r="B172" s="1"/>
    </row>
    <row r="173" spans="1:2" x14ac:dyDescent="0.2">
      <c r="A173" s="18"/>
      <c r="B173" s="1"/>
    </row>
    <row r="174" spans="1:2" x14ac:dyDescent="0.2">
      <c r="A174" s="18"/>
      <c r="B174" s="1"/>
    </row>
    <row r="175" spans="1:2" x14ac:dyDescent="0.2">
      <c r="A175" s="18"/>
      <c r="B175" s="1"/>
    </row>
    <row r="176" spans="1:2" x14ac:dyDescent="0.2">
      <c r="A176" s="18"/>
      <c r="B176" s="1"/>
    </row>
    <row r="177" spans="1:2" x14ac:dyDescent="0.2">
      <c r="A177" s="18"/>
      <c r="B177" s="1"/>
    </row>
    <row r="178" spans="1:2" x14ac:dyDescent="0.2">
      <c r="A178" s="18"/>
      <c r="B178" s="1"/>
    </row>
    <row r="179" spans="1:2" x14ac:dyDescent="0.2">
      <c r="A179" s="18"/>
      <c r="B179" s="1"/>
    </row>
    <row r="180" spans="1:2" x14ac:dyDescent="0.2">
      <c r="A180" s="18"/>
      <c r="B180" s="1"/>
    </row>
    <row r="181" spans="1:2" x14ac:dyDescent="0.2">
      <c r="A181" s="18"/>
      <c r="B181" s="1"/>
    </row>
    <row r="182" spans="1:2" x14ac:dyDescent="0.2">
      <c r="A182" s="18"/>
      <c r="B182" s="1"/>
    </row>
    <row r="183" spans="1:2" x14ac:dyDescent="0.2">
      <c r="A183" s="18"/>
      <c r="B183" s="1"/>
    </row>
    <row r="184" spans="1:2" x14ac:dyDescent="0.2">
      <c r="A184" s="18"/>
      <c r="B184" s="1"/>
    </row>
    <row r="185" spans="1:2" x14ac:dyDescent="0.2">
      <c r="A185" s="18"/>
      <c r="B185" s="1"/>
    </row>
    <row r="186" spans="1:2" x14ac:dyDescent="0.2">
      <c r="A186" s="18"/>
      <c r="B186" s="1"/>
    </row>
    <row r="187" spans="1:2" x14ac:dyDescent="0.2">
      <c r="A187" s="18"/>
      <c r="B187" s="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49F06-6B62-4D4B-936B-EC23A9B1A814}">
  <dimension ref="A1:F52"/>
  <sheetViews>
    <sheetView tabSelected="1" workbookViewId="0">
      <selection activeCell="B7" sqref="B7"/>
    </sheetView>
  </sheetViews>
  <sheetFormatPr baseColWidth="10" defaultRowHeight="14" x14ac:dyDescent="0.15"/>
  <cols>
    <col min="1" max="1" width="45.5" style="2" customWidth="1"/>
    <col min="2" max="2" width="19.33203125" style="2" customWidth="1"/>
    <col min="3" max="6" width="14.33203125" style="2" bestFit="1" customWidth="1"/>
    <col min="7" max="16384" width="10.83203125" style="2"/>
  </cols>
  <sheetData>
    <row r="1" spans="1:6" ht="15" x14ac:dyDescent="0.15">
      <c r="A1" s="5" t="s">
        <v>266</v>
      </c>
      <c r="B1" s="5"/>
    </row>
    <row r="2" spans="1:6" ht="15" x14ac:dyDescent="0.15">
      <c r="A2" s="5" t="s">
        <v>267</v>
      </c>
      <c r="B2" s="5"/>
    </row>
    <row r="3" spans="1:6" ht="15" x14ac:dyDescent="0.15">
      <c r="A3" s="5" t="s">
        <v>268</v>
      </c>
      <c r="B3" s="5" t="s">
        <v>218</v>
      </c>
    </row>
    <row r="4" spans="1:6" ht="15" x14ac:dyDescent="0.15">
      <c r="A4" s="5" t="s">
        <v>6</v>
      </c>
      <c r="B4" s="44">
        <f>WACC!B42</f>
        <v>46080</v>
      </c>
    </row>
    <row r="5" spans="1:6" ht="15" x14ac:dyDescent="0.15">
      <c r="A5" s="5" t="s">
        <v>234</v>
      </c>
      <c r="B5" s="45">
        <f>WACC!B23</f>
        <v>8.013210595096891E-2</v>
      </c>
    </row>
    <row r="6" spans="1:6" ht="15" x14ac:dyDescent="0.15">
      <c r="A6" s="5" t="s">
        <v>269</v>
      </c>
      <c r="B6" s="46">
        <v>0.03</v>
      </c>
    </row>
    <row r="7" spans="1:6" ht="15" x14ac:dyDescent="0.15">
      <c r="A7" s="5" t="s">
        <v>270</v>
      </c>
      <c r="B7" s="46">
        <v>0.15</v>
      </c>
    </row>
    <row r="10" spans="1:6" ht="15" x14ac:dyDescent="0.15">
      <c r="A10" s="5" t="s">
        <v>271</v>
      </c>
      <c r="B10" s="47">
        <v>2026</v>
      </c>
      <c r="C10" s="47">
        <v>2027</v>
      </c>
      <c r="D10" s="47">
        <v>2028</v>
      </c>
      <c r="E10" s="47">
        <v>2029</v>
      </c>
      <c r="F10" s="47">
        <v>2030</v>
      </c>
    </row>
    <row r="11" spans="1:6" ht="15" x14ac:dyDescent="0.15">
      <c r="A11" s="5" t="s">
        <v>272</v>
      </c>
      <c r="B11" s="44">
        <f>DATE(B10,12,31)</f>
        <v>46387</v>
      </c>
      <c r="C11" s="44">
        <f>DATE(C10,12,31)</f>
        <v>46752</v>
      </c>
      <c r="D11" s="44">
        <f>DATE(D10,12,31)</f>
        <v>47118</v>
      </c>
      <c r="E11" s="44">
        <f>DATE(E10,12,31)</f>
        <v>47483</v>
      </c>
      <c r="F11" s="44">
        <f>DATE(F10,12,31)</f>
        <v>47848</v>
      </c>
    </row>
    <row r="12" spans="1:6" ht="15" x14ac:dyDescent="0.15">
      <c r="A12" s="5" t="s">
        <v>273</v>
      </c>
      <c r="B12" s="5">
        <f>'Operating Forecast'!E25</f>
        <v>1164593.0890591999</v>
      </c>
      <c r="C12" s="5">
        <f>'Operating Forecast'!F25</f>
        <v>1518608.9933780481</v>
      </c>
      <c r="D12" s="5">
        <f>'Operating Forecast'!G25</f>
        <v>1918811.0895199995</v>
      </c>
      <c r="E12" s="5">
        <f>'Operating Forecast'!H25</f>
        <v>2321546.5114771738</v>
      </c>
      <c r="F12" s="5">
        <f>'Operating Forecast'!I25</f>
        <v>2681641.3458785983</v>
      </c>
    </row>
    <row r="13" spans="1:6" ht="15" x14ac:dyDescent="0.15">
      <c r="A13" s="5" t="s">
        <v>274</v>
      </c>
      <c r="B13" s="48">
        <f>(B11-$B$4)/(B11-DATE(B10-1,12,31))</f>
        <v>0.84109589041095889</v>
      </c>
      <c r="C13" s="48">
        <v>1</v>
      </c>
      <c r="D13" s="48">
        <v>1</v>
      </c>
      <c r="E13" s="48">
        <v>1</v>
      </c>
      <c r="F13" s="48">
        <v>1</v>
      </c>
    </row>
    <row r="14" spans="1:6" ht="15" x14ac:dyDescent="0.15">
      <c r="A14" s="5" t="s">
        <v>275</v>
      </c>
      <c r="B14" s="29">
        <f>B12*B13</f>
        <v>979534.46120869694</v>
      </c>
      <c r="C14" s="29">
        <f>C12*C13</f>
        <v>1518608.9933780481</v>
      </c>
      <c r="D14" s="29">
        <f>D12*D13</f>
        <v>1918811.0895199995</v>
      </c>
      <c r="E14" s="29">
        <f>E12*E13</f>
        <v>2321546.5114771738</v>
      </c>
      <c r="F14" s="29">
        <f>F12*F13</f>
        <v>2681641.3458785983</v>
      </c>
    </row>
    <row r="15" spans="1:6" ht="15" x14ac:dyDescent="0.15">
      <c r="A15" s="5" t="s">
        <v>276</v>
      </c>
      <c r="B15" s="49">
        <f>(B11-$B$4)/365</f>
        <v>0.84109589041095889</v>
      </c>
      <c r="C15" s="49">
        <f>(C11-$B$4)/365</f>
        <v>1.8410958904109589</v>
      </c>
      <c r="D15" s="49">
        <f>(D11-$B$4)/365</f>
        <v>2.8438356164383563</v>
      </c>
      <c r="E15" s="49">
        <f>(E11-$B$4)/365</f>
        <v>3.8438356164383563</v>
      </c>
      <c r="F15" s="49">
        <f>(F11-$B$4)/365</f>
        <v>4.8438356164383558</v>
      </c>
    </row>
    <row r="16" spans="1:6" ht="15" x14ac:dyDescent="0.15">
      <c r="A16" s="5" t="s">
        <v>277</v>
      </c>
      <c r="B16" s="49">
        <f>1/(1+$B$5)^B15</f>
        <v>0.93722256813800886</v>
      </c>
      <c r="C16" s="49">
        <f>1/(1+$B$5)^C15</f>
        <v>0.86769253776866495</v>
      </c>
      <c r="D16" s="49">
        <f>1/(1+$B$5)^D15</f>
        <v>0.80315112079168127</v>
      </c>
      <c r="E16" s="49">
        <f>1/(1+$B$5)^E15</f>
        <v>0.7435674917602525</v>
      </c>
      <c r="F16" s="49">
        <f>1/(1+$B$5)^F15</f>
        <v>0.6884042124695493</v>
      </c>
    </row>
    <row r="17" spans="1:6" ht="15" x14ac:dyDescent="0.15">
      <c r="A17" s="5" t="s">
        <v>278</v>
      </c>
      <c r="B17" s="29">
        <f>B14*B16</f>
        <v>918041.80331369571</v>
      </c>
      <c r="C17" s="29">
        <f>C14*C16</f>
        <v>1317685.6913425163</v>
      </c>
      <c r="D17" s="29">
        <f>D14*D16</f>
        <v>1541095.2771354946</v>
      </c>
      <c r="E17" s="29">
        <f>E14*E16</f>
        <v>1726226.5165438463</v>
      </c>
      <c r="F17" s="29">
        <f>F14*F16</f>
        <v>1846053.1988353387</v>
      </c>
    </row>
    <row r="20" spans="1:6" ht="15" x14ac:dyDescent="0.15">
      <c r="A20" s="5" t="s">
        <v>279</v>
      </c>
      <c r="B20" s="5"/>
    </row>
    <row r="21" spans="1:6" ht="15" x14ac:dyDescent="0.15">
      <c r="A21" s="5" t="s">
        <v>280</v>
      </c>
      <c r="B21" s="29">
        <f>'Operating Forecast'!I15*(1+$B$6)</f>
        <v>9600441.2509059235</v>
      </c>
    </row>
    <row r="22" spans="1:6" ht="15" x14ac:dyDescent="0.15">
      <c r="A22" s="5" t="s">
        <v>281</v>
      </c>
      <c r="B22" s="29">
        <f>B21*'Operating Forecast'!I8*(1-'Operating Forecast'!I9)</f>
        <v>3880978.375678719</v>
      </c>
    </row>
    <row r="23" spans="1:6" ht="15" x14ac:dyDescent="0.15">
      <c r="A23" s="5" t="s">
        <v>282</v>
      </c>
      <c r="B23" s="29">
        <f>B6/B7</f>
        <v>0.2</v>
      </c>
    </row>
    <row r="24" spans="1:6" ht="15" x14ac:dyDescent="0.15">
      <c r="A24" s="5" t="s">
        <v>283</v>
      </c>
      <c r="B24" s="29">
        <f>B22*B23</f>
        <v>776195.6751357438</v>
      </c>
    </row>
    <row r="25" spans="1:6" ht="15" x14ac:dyDescent="0.15">
      <c r="A25" s="5" t="s">
        <v>284</v>
      </c>
      <c r="B25" s="29">
        <f>B22-B24</f>
        <v>3104782.7005429752</v>
      </c>
    </row>
    <row r="26" spans="1:6" ht="15" x14ac:dyDescent="0.15">
      <c r="A26" s="5" t="s">
        <v>285</v>
      </c>
      <c r="B26" s="29">
        <f>IF(B5&gt;B6,B25/(B5-B6),NA())</f>
        <v>61932022.236998573</v>
      </c>
    </row>
    <row r="27" spans="1:6" ht="15" x14ac:dyDescent="0.15">
      <c r="A27" s="5" t="s">
        <v>286</v>
      </c>
      <c r="B27" s="29">
        <f>B26*F16</f>
        <v>42634264.994707614</v>
      </c>
    </row>
    <row r="28" spans="1:6" x14ac:dyDescent="0.15">
      <c r="A28" s="5"/>
      <c r="B28" s="29"/>
    </row>
    <row r="29" spans="1:6" ht="15" x14ac:dyDescent="0.15">
      <c r="A29" s="5" t="s">
        <v>287</v>
      </c>
      <c r="B29" s="29">
        <f>SUM(B17:F17)</f>
        <v>7349102.4871708918</v>
      </c>
    </row>
    <row r="30" spans="1:6" ht="15" x14ac:dyDescent="0.15">
      <c r="A30" s="5" t="s">
        <v>288</v>
      </c>
      <c r="B30" s="29">
        <f>B27+B29</f>
        <v>49983367.481878504</v>
      </c>
    </row>
    <row r="31" spans="1:6" ht="15" x14ac:dyDescent="0.15">
      <c r="A31" s="5" t="s">
        <v>289</v>
      </c>
      <c r="B31" s="29">
        <f>B27/B30</f>
        <v>0.85296904035456778</v>
      </c>
    </row>
    <row r="32" spans="1:6" ht="15" x14ac:dyDescent="0.15">
      <c r="A32" s="5" t="s">
        <v>290</v>
      </c>
      <c r="B32" s="5" t="str">
        <f>IF(B5&gt;B6,"PASS","FAIL")</f>
        <v>PASS</v>
      </c>
    </row>
    <row r="34" spans="1:2" ht="30" x14ac:dyDescent="0.15">
      <c r="A34" s="5" t="s">
        <v>296</v>
      </c>
      <c r="B34" s="5"/>
    </row>
    <row r="35" spans="1:2" ht="15" x14ac:dyDescent="0.15">
      <c r="A35" s="5" t="s">
        <v>288</v>
      </c>
      <c r="B35" s="29">
        <f>B30</f>
        <v>49983367.481878504</v>
      </c>
    </row>
    <row r="36" spans="1:2" ht="15" x14ac:dyDescent="0.15">
      <c r="A36" s="5" t="s">
        <v>297</v>
      </c>
      <c r="B36" s="29">
        <f>'Historical Financials'!D45</f>
        <v>2767856.4019999998</v>
      </c>
    </row>
    <row r="37" spans="1:2" ht="15" x14ac:dyDescent="0.15">
      <c r="A37" s="5" t="s">
        <v>298</v>
      </c>
      <c r="B37" s="29">
        <f>'Historical Financials'!D7*$B$52</f>
        <v>76181.085439999995</v>
      </c>
    </row>
    <row r="38" spans="1:2" ht="30" x14ac:dyDescent="0.15">
      <c r="A38" s="5" t="s">
        <v>299</v>
      </c>
      <c r="B38" s="29">
        <f>(100200+15032128+175692690+8797170+124945519+110507804)/1000</f>
        <v>435075.511</v>
      </c>
    </row>
    <row r="39" spans="1:2" ht="30" x14ac:dyDescent="0.15">
      <c r="A39" s="5" t="s">
        <v>300</v>
      </c>
      <c r="B39" s="29">
        <f>38033271/1000</f>
        <v>38033.271000000001</v>
      </c>
    </row>
    <row r="40" spans="1:2" ht="15" x14ac:dyDescent="0.15">
      <c r="A40" s="5" t="s">
        <v>301</v>
      </c>
      <c r="B40" s="29">
        <f>WACC!B18</f>
        <v>1068415.716</v>
      </c>
    </row>
    <row r="41" spans="1:2" ht="15" x14ac:dyDescent="0.15">
      <c r="A41" s="5" t="s">
        <v>302</v>
      </c>
      <c r="B41" s="29">
        <f>41199289/1000</f>
        <v>41199.288999999997</v>
      </c>
    </row>
    <row r="42" spans="1:2" ht="15" x14ac:dyDescent="0.15">
      <c r="A42" s="5" t="s">
        <v>303</v>
      </c>
      <c r="B42" s="29">
        <f>285258060/1000</f>
        <v>285258.06</v>
      </c>
    </row>
    <row r="43" spans="1:2" ht="15" x14ac:dyDescent="0.15">
      <c r="A43" s="5" t="s">
        <v>304</v>
      </c>
      <c r="B43" s="29">
        <f>(3083883+817)/1000</f>
        <v>3084.7</v>
      </c>
    </row>
    <row r="44" spans="1:2" ht="15" x14ac:dyDescent="0.15">
      <c r="A44" s="5" t="s">
        <v>305</v>
      </c>
      <c r="B44" s="29">
        <f>6012286/1000</f>
        <v>6012.2860000000001</v>
      </c>
    </row>
    <row r="45" spans="1:2" ht="15" x14ac:dyDescent="0.15">
      <c r="A45" s="5" t="s">
        <v>306</v>
      </c>
      <c r="B45" s="29">
        <f>B35+B36-B37+B38+B39-SUM(B40:B44)</f>
        <v>51744181.529438503</v>
      </c>
    </row>
    <row r="46" spans="1:2" ht="15" x14ac:dyDescent="0.15">
      <c r="A46" s="5" t="s">
        <v>307</v>
      </c>
      <c r="B46" s="29">
        <f>WACC!B38</f>
        <v>25932.524000000001</v>
      </c>
    </row>
    <row r="47" spans="1:2" ht="15" x14ac:dyDescent="0.15">
      <c r="A47" s="5" t="s">
        <v>308</v>
      </c>
      <c r="B47" s="27">
        <f>B45/B46</f>
        <v>1995.3391937259366</v>
      </c>
    </row>
    <row r="48" spans="1:2" ht="15" x14ac:dyDescent="0.15">
      <c r="A48" s="5" t="s">
        <v>309</v>
      </c>
      <c r="B48" s="27">
        <f>WACC!B40</f>
        <v>1995</v>
      </c>
    </row>
    <row r="49" spans="1:2" ht="15" x14ac:dyDescent="0.15">
      <c r="A49" s="5" t="s">
        <v>310</v>
      </c>
      <c r="B49" s="45">
        <f>B47/B48-1</f>
        <v>1.7002191776271935E-4</v>
      </c>
    </row>
    <row r="50" spans="1:2" ht="15" x14ac:dyDescent="0.15">
      <c r="A50" s="5" t="s">
        <v>311</v>
      </c>
      <c r="B50" s="51">
        <f>B45-(B35+B36-B37+B38+B39-SUM(B40:B44))</f>
        <v>0</v>
      </c>
    </row>
    <row r="52" spans="1:2" ht="30" x14ac:dyDescent="0.15">
      <c r="A52" s="5" t="s">
        <v>295</v>
      </c>
      <c r="B52" s="50">
        <v>0.02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9CE89-EB7A-D84D-89CE-9082BC75A52C}">
  <dimension ref="A1:H28"/>
  <sheetViews>
    <sheetView workbookViewId="0">
      <selection activeCell="G27" sqref="G27"/>
    </sheetView>
  </sheetViews>
  <sheetFormatPr baseColWidth="10" defaultRowHeight="16" x14ac:dyDescent="0.2"/>
  <cols>
    <col min="1" max="1" width="27.6640625" customWidth="1"/>
    <col min="2" max="2" width="22.83203125" customWidth="1"/>
  </cols>
  <sheetData>
    <row r="1" spans="1:8" x14ac:dyDescent="0.2">
      <c r="A1" s="8" t="s">
        <v>316</v>
      </c>
      <c r="B1" s="7"/>
      <c r="C1" s="2"/>
      <c r="D1" s="2"/>
      <c r="E1" s="2"/>
      <c r="F1" s="2"/>
      <c r="G1" s="2"/>
      <c r="H1" s="2"/>
    </row>
    <row r="2" spans="1:8" ht="45" x14ac:dyDescent="0.2">
      <c r="A2" s="8" t="s">
        <v>317</v>
      </c>
      <c r="B2" s="7"/>
      <c r="C2" s="2"/>
      <c r="D2" s="2"/>
      <c r="E2" s="2"/>
      <c r="F2" s="2"/>
      <c r="G2" s="2"/>
      <c r="H2" s="2"/>
    </row>
    <row r="3" spans="1:8" x14ac:dyDescent="0.2">
      <c r="A3" s="8" t="s">
        <v>318</v>
      </c>
      <c r="B3" s="54">
        <f>'DCF Valuation'!B5</f>
        <v>8.013210595096891E-2</v>
      </c>
      <c r="C3" s="2"/>
      <c r="D3" s="2"/>
      <c r="E3" s="2"/>
      <c r="F3" s="2"/>
      <c r="G3" s="2"/>
      <c r="H3" s="2"/>
    </row>
    <row r="4" spans="1:8" x14ac:dyDescent="0.2">
      <c r="A4" s="8" t="s">
        <v>319</v>
      </c>
      <c r="B4" s="54">
        <f>'DCF Valuation'!B6</f>
        <v>0.03</v>
      </c>
      <c r="C4" s="2"/>
      <c r="D4" s="2"/>
      <c r="E4" s="2"/>
      <c r="F4" s="2"/>
      <c r="G4" s="2"/>
      <c r="H4" s="2"/>
    </row>
    <row r="5" spans="1:8" x14ac:dyDescent="0.2">
      <c r="A5" s="8" t="s">
        <v>320</v>
      </c>
      <c r="B5" s="54">
        <f>'DCF Valuation'!B7</f>
        <v>0.15</v>
      </c>
      <c r="C5" s="2"/>
      <c r="D5" s="2"/>
      <c r="E5" s="2"/>
      <c r="F5" s="2"/>
      <c r="G5" s="2"/>
      <c r="H5" s="2"/>
    </row>
    <row r="6" spans="1:8" x14ac:dyDescent="0.2">
      <c r="A6" s="8" t="s">
        <v>321</v>
      </c>
      <c r="B6" s="7">
        <f>'DCF Valuation'!B45-'DCF Valuation'!B35</f>
        <v>1760814.0475599989</v>
      </c>
      <c r="C6" s="2"/>
      <c r="D6" s="2"/>
      <c r="E6" s="2"/>
      <c r="F6" s="2"/>
      <c r="G6" s="2"/>
      <c r="H6" s="2"/>
    </row>
    <row r="7" spans="1:8" x14ac:dyDescent="0.2">
      <c r="A7" s="8" t="s">
        <v>307</v>
      </c>
      <c r="B7" s="7">
        <f>'DCF Valuation'!B46</f>
        <v>25932.524000000001</v>
      </c>
      <c r="C7" s="2"/>
      <c r="D7" s="2"/>
      <c r="E7" s="2"/>
      <c r="F7" s="2"/>
      <c r="G7" s="2"/>
      <c r="H7" s="2"/>
    </row>
    <row r="8" spans="1:8" x14ac:dyDescent="0.2">
      <c r="A8" s="8" t="s">
        <v>322</v>
      </c>
      <c r="B8" s="7">
        <f>'Operating Forecast'!I18</f>
        <v>3767940.1705618631</v>
      </c>
      <c r="C8" s="2"/>
      <c r="D8" s="2"/>
      <c r="E8" s="2"/>
      <c r="F8" s="2"/>
      <c r="G8" s="2"/>
      <c r="H8" s="2"/>
    </row>
    <row r="9" spans="1:8" x14ac:dyDescent="0.2">
      <c r="A9" s="2"/>
      <c r="B9" s="2"/>
      <c r="C9" s="2"/>
      <c r="D9" s="2"/>
      <c r="E9" s="2"/>
      <c r="F9" s="2"/>
      <c r="G9" s="2"/>
      <c r="H9" s="2"/>
    </row>
    <row r="10" spans="1:8" x14ac:dyDescent="0.2">
      <c r="A10" s="2"/>
      <c r="B10" s="2"/>
      <c r="C10" s="2"/>
      <c r="D10" s="2"/>
      <c r="E10" s="2"/>
      <c r="F10" s="2"/>
      <c r="G10" s="2"/>
      <c r="H10" s="2"/>
    </row>
    <row r="11" spans="1:8" x14ac:dyDescent="0.2">
      <c r="A11" s="2" t="s">
        <v>323</v>
      </c>
      <c r="B11" s="55">
        <f>$B$4-1%</f>
        <v>1.9999999999999997E-2</v>
      </c>
      <c r="C11" s="55">
        <f>$B$4-0.5%</f>
        <v>2.4999999999999998E-2</v>
      </c>
      <c r="D11" s="55">
        <f>$B$4</f>
        <v>0.03</v>
      </c>
      <c r="E11" s="55">
        <f>$B$4+0.5%</f>
        <v>3.4999999999999996E-2</v>
      </c>
      <c r="F11" s="55">
        <f>$B$4+1%</f>
        <v>0.04</v>
      </c>
      <c r="G11" s="2"/>
      <c r="H11" s="2"/>
    </row>
    <row r="12" spans="1:8" x14ac:dyDescent="0.2">
      <c r="A12" s="55">
        <f>$B$3-1%</f>
        <v>7.0132105950968915E-2</v>
      </c>
      <c r="B12" s="56" cm="1">
        <f t="array" ref="B12">IF(OR($A12&lt;=B$11,B$11&gt;=$B$5),NA(),(SUMPRODUCT('DCF Valuation'!$B$14:$F$14,1/(1+$A12)^'DCF Valuation'!$B$15:$F$15)+$B$8*(1+B$11)*(1-B$11/$B$5)/($A12-B$11)/(1+$A12)^'DCF Valuation'!$F$15+$B$6)/$B$7)</f>
        <v>2204.7845146905174</v>
      </c>
      <c r="C12" s="56" cm="1">
        <f t="array" ref="C12">IF(OR($A12&lt;=C$11,C$11&gt;=$B$5),NA(),(SUMPRODUCT('DCF Valuation'!$B$14:$F$14,1/(1+$A12)^'DCF Valuation'!$B$15:$F$15)+$B$8*(1+C$11)*(1-C$11/$B$5)/($A12-C$11)/(1+$A12)^'DCF Valuation'!$F$15+$B$6)/$B$7)</f>
        <v>2340.0239590071892</v>
      </c>
      <c r="D12" s="56" cm="1">
        <f t="array" ref="D12">IF(OR($A12&lt;=D$11,D$11&gt;=$B$5),NA(),(SUMPRODUCT('DCF Valuation'!$B$14:$F$14,1/(1+$A12)^'DCF Valuation'!$B$15:$F$15)+$B$8*(1+D$11)*(1-D$11/$B$5)/($A12-D$11)/(1+$A12)^'DCF Valuation'!$F$15+$B$6)/$B$7)</f>
        <v>2508.0928971732901</v>
      </c>
      <c r="E12" s="56" cm="1">
        <f t="array" ref="E12">IF(OR($A12&lt;=E$11,E$11&gt;=$B$5),NA(),(SUMPRODUCT('DCF Valuation'!$B$14:$F$14,1/(1+$A12)^'DCF Valuation'!$B$15:$F$15)+$B$8*(1+E$11)*(1-E$11/$B$5)/($A12-E$11)/(1+$A12)^'DCF Valuation'!$F$15+$B$6)/$B$7)</f>
        <v>2723.0082061852831</v>
      </c>
      <c r="F12" s="56" cm="1">
        <f t="array" ref="F12">IF(OR($A12&lt;=F$11,F$11&gt;=$B$5),NA(),(SUMPRODUCT('DCF Valuation'!$B$14:$F$14,1/(1+$A12)^'DCF Valuation'!$B$15:$F$15)+$B$8*(1+F$11)*(1-F$11/$B$5)/($A12-F$11)/(1+$A12)^'DCF Valuation'!$F$15+$B$6)/$B$7)</f>
        <v>3008.0903789364247</v>
      </c>
      <c r="G12" s="2"/>
      <c r="H12" s="2"/>
    </row>
    <row r="13" spans="1:8" ht="17" thickBot="1" x14ac:dyDescent="0.25">
      <c r="A13" s="55">
        <f>$B$3-0.5%</f>
        <v>7.5132105950968905E-2</v>
      </c>
      <c r="B13" s="56" cm="1">
        <f t="array" ref="B13">IF(OR($A13&lt;=B$11,B$11&gt;=$B$5),NA(),(SUMPRODUCT('DCF Valuation'!$B$14:$F$14,1/(1+$A13)^'DCF Valuation'!$B$15:$F$15)+$B$8*(1+B$11)*(1-B$11/$B$5)/($A13-B$11)/(1+$A13)^'DCF Valuation'!$F$15+$B$6)/$B$7)</f>
        <v>1995.7260211812561</v>
      </c>
      <c r="C13" s="56" cm="1">
        <f t="array" ref="C13">IF(OR($A13&lt;=C$11,C$11&gt;=$B$5),NA(),(SUMPRODUCT('DCF Valuation'!$B$14:$F$14,1/(1+$A13)^'DCF Valuation'!$B$15:$F$15)+$B$8*(1+C$11)*(1-C$11/$B$5)/($A13-C$11)/(1+$A13)^'DCF Valuation'!$F$15+$B$6)/$B$7)</f>
        <v>2098.4427118855197</v>
      </c>
      <c r="D13" s="56" cm="1">
        <f t="array" ref="D13">IF(OR($A13&lt;=D$11,D$11&gt;=$B$5),NA(),(SUMPRODUCT('DCF Valuation'!$B$14:$F$14,1/(1+$A13)^'DCF Valuation'!$B$15:$F$15)+$B$8*(1+D$11)*(1-D$11/$B$5)/($A13-D$11)/(1+$A13)^'DCF Valuation'!$F$15+$B$6)/$B$7)</f>
        <v>2223.1629820095427</v>
      </c>
      <c r="E13" s="56" cm="1">
        <f t="array" ref="E13">IF(OR($A13&lt;=E$11,E$11&gt;=$B$5),NA(),(SUMPRODUCT('DCF Valuation'!$B$14:$F$14,1/(1+$A13)^'DCF Valuation'!$B$15:$F$15)+$B$8*(1+E$11)*(1-E$11/$B$5)/($A13-E$11)/(1+$A13)^'DCF Valuation'!$F$15+$B$6)/$B$7)</f>
        <v>2378.1110122554182</v>
      </c>
      <c r="F13" s="56" cm="1">
        <f t="array" ref="F13">IF(OR($A13&lt;=F$11,F$11&gt;=$B$5),NA(),(SUMPRODUCT('DCF Valuation'!$B$14:$F$14,1/(1+$A13)^'DCF Valuation'!$B$15:$F$15)+$B$8*(1+F$11)*(1-F$11/$B$5)/($A13-F$11)/(1+$A13)^'DCF Valuation'!$F$15+$B$6)/$B$7)</f>
        <v>2576.19284368031</v>
      </c>
      <c r="G13" s="2"/>
      <c r="H13" s="2"/>
    </row>
    <row r="14" spans="1:8" ht="17" thickBot="1" x14ac:dyDescent="0.25">
      <c r="A14" s="55">
        <f>$B$3</f>
        <v>8.013210595096891E-2</v>
      </c>
      <c r="B14" s="56" cm="1">
        <f t="array" ref="B14">IF(OR($A14&lt;=B$11,B$11&gt;=$B$5),NA(),(SUMPRODUCT('DCF Valuation'!$B$14:$F$14,1/(1+$A14)^'DCF Valuation'!$B$15:$F$15)+$B$8*(1+B$11)*(1-B$11/$B$5)/($A14-B$11)/(1+$A14)^'DCF Valuation'!$F$15+$B$6)/$B$7)</f>
        <v>1821.7373975826533</v>
      </c>
      <c r="C14" s="56" cm="1">
        <f t="array" ref="C14">IF(OR($A14&lt;=C$11,C$11&gt;=$B$5),NA(),(SUMPRODUCT('DCF Valuation'!$B$14:$F$14,1/(1+$A14)^'DCF Valuation'!$B$15:$F$15)+$B$8*(1+C$11)*(1-C$11/$B$5)/($A14-C$11)/(1+$A14)^'DCF Valuation'!$F$15+$B$6)/$B$7)</f>
        <v>1900.9685887900373</v>
      </c>
      <c r="D14" s="57" cm="1">
        <f t="array" ref="D14">IF(OR($A14&lt;=D$11,D$11&gt;=$B$5),NA(),(SUMPRODUCT('DCF Valuation'!$B$14:$F$14,1/(1+$A14)^'DCF Valuation'!$B$15:$F$15)+$B$8*(1+D$11)*(1-D$11/$B$5)/($A14-D$11)/(1+$A14)^'DCF Valuation'!$F$15+$B$6)/$B$7)</f>
        <v>1995.3391937259366</v>
      </c>
      <c r="E14" s="56" cm="1">
        <f t="array" ref="E14">IF(OR($A14&lt;=E$11,E$11&gt;=$B$5),NA(),(SUMPRODUCT('DCF Valuation'!$B$14:$F$14,1/(1+$A14)^'DCF Valuation'!$B$15:$F$15)+$B$8*(1+E$11)*(1-E$11/$B$5)/($A14-E$11)/(1+$A14)^'DCF Valuation'!$F$15+$B$6)/$B$7)</f>
        <v>2109.8809121336435</v>
      </c>
      <c r="F14" s="56" cm="1">
        <f t="array" ref="F14">IF(OR($A14&lt;=F$11,F$11&gt;=$B$5),NA(),(SUMPRODUCT('DCF Valuation'!$B$14:$F$14,1/(1+$A14)^'DCF Valuation'!$B$15:$F$15)+$B$8*(1+F$11)*(1-F$11/$B$5)/($A14-F$11)/(1+$A14)^'DCF Valuation'!$F$15+$B$6)/$B$7)</f>
        <v>2252.1330120108751</v>
      </c>
      <c r="G14" s="2"/>
      <c r="H14" s="2"/>
    </row>
    <row r="15" spans="1:8" x14ac:dyDescent="0.2">
      <c r="A15" s="55">
        <f>$B$3+0.5%</f>
        <v>8.5132105950968914E-2</v>
      </c>
      <c r="B15" s="56" cm="1">
        <f t="array" ref="B15">IF(OR($A15&lt;=B$11,B$11&gt;=$B$5),NA(),(SUMPRODUCT('DCF Valuation'!$B$14:$F$14,1/(1+$A15)^'DCF Valuation'!$B$15:$F$15)+$B$8*(1+B$11)*(1-B$11/$B$5)/($A15-B$11)/(1+$A15)^'DCF Valuation'!$F$15+$B$6)/$B$7)</f>
        <v>1674.7343227453753</v>
      </c>
      <c r="C15" s="56" cm="1">
        <f t="array" ref="C15">IF(OR($A15&lt;=C$11,C$11&gt;=$B$5),NA(),(SUMPRODUCT('DCF Valuation'!$B$14:$F$14,1/(1+$A15)^'DCF Valuation'!$B$15:$F$15)+$B$8*(1+C$11)*(1-C$11/$B$5)/($A15-C$11)/(1+$A15)^'DCF Valuation'!$F$15+$B$6)/$B$7)</f>
        <v>1736.5918891640447</v>
      </c>
      <c r="D15" s="56" cm="1">
        <f t="array" ref="D15">IF(OR($A15&lt;=D$11,D$11&gt;=$B$5),NA(),(SUMPRODUCT('DCF Valuation'!$B$14:$F$14,1/(1+$A15)^'DCF Valuation'!$B$15:$F$15)+$B$8*(1+D$11)*(1-D$11/$B$5)/($A15-D$11)/(1+$A15)^'DCF Valuation'!$F$15+$B$6)/$B$7)</f>
        <v>1809.0779636011428</v>
      </c>
      <c r="E15" s="56" cm="1">
        <f t="array" ref="E15">IF(OR($A15&lt;=E$11,E$11&gt;=$B$5),NA(),(SUMPRODUCT('DCF Valuation'!$B$14:$F$14,1/(1+$A15)^'DCF Valuation'!$B$15:$F$15)+$B$8*(1+E$11)*(1-E$11/$B$5)/($A15-E$11)/(1+$A15)^'DCF Valuation'!$F$15+$B$6)/$B$7)</f>
        <v>1895.3726961272105</v>
      </c>
      <c r="F15" s="56" cm="1">
        <f t="array" ref="F15">IF(OR($A15&lt;=F$11,F$11&gt;=$B$5),NA(),(SUMPRODUCT('DCF Valuation'!$B$14:$F$14,1/(1+$A15)^'DCF Valuation'!$B$15:$F$15)+$B$8*(1+F$11)*(1-F$11/$B$5)/($A15-F$11)/(1+$A15)^'DCF Valuation'!$F$15+$B$6)/$B$7)</f>
        <v>2000.065499688314</v>
      </c>
      <c r="G15" s="2"/>
      <c r="H15" s="2"/>
    </row>
    <row r="16" spans="1:8" x14ac:dyDescent="0.2">
      <c r="A16" s="55">
        <f>$B$3+1%</f>
        <v>9.0132105950968905E-2</v>
      </c>
      <c r="B16" s="56" cm="1">
        <f t="array" ref="B16">IF(OR($A16&lt;=B$11,B$11&gt;=$B$5),NA(),(SUMPRODUCT('DCF Valuation'!$B$14:$F$14,1/(1+$A16)^'DCF Valuation'!$B$15:$F$15)+$B$8*(1+B$11)*(1-B$11/$B$5)/($A16-B$11)/(1+$A16)^'DCF Valuation'!$F$15+$B$6)/$B$7)</f>
        <v>1548.9381646389061</v>
      </c>
      <c r="C16" s="56" cm="1">
        <f t="array" ref="C16">IF(OR($A16&lt;=C$11,C$11&gt;=$B$5),NA(),(SUMPRODUCT('DCF Valuation'!$B$14:$F$14,1/(1+$A16)^'DCF Valuation'!$B$15:$F$15)+$B$8*(1+C$11)*(1-C$11/$B$5)/($A16-C$11)/(1+$A16)^'DCF Valuation'!$F$15+$B$6)/$B$7)</f>
        <v>1597.6838552071076</v>
      </c>
      <c r="D16" s="56" cm="1">
        <f t="array" ref="D16">IF(OR($A16&lt;=D$11,D$11&gt;=$B$5),NA(),(SUMPRODUCT('DCF Valuation'!$B$14:$F$14,1/(1+$A16)^'DCF Valuation'!$B$15:$F$15)+$B$8*(1+D$11)*(1-D$11/$B$5)/($A16-D$11)/(1+$A16)^'DCF Valuation'!$F$15+$B$6)/$B$7)</f>
        <v>1654.0057191582221</v>
      </c>
      <c r="E16" s="56" cm="1">
        <f t="array" ref="E16">IF(OR($A16&lt;=E$11,E$11&gt;=$B$5),NA(),(SUMPRODUCT('DCF Valuation'!$B$14:$F$14,1/(1+$A16)^'DCF Valuation'!$B$15:$F$15)+$B$8*(1+E$11)*(1-E$11/$B$5)/($A16-E$11)/(1+$A16)^'DCF Valuation'!$F$15+$B$6)/$B$7)</f>
        <v>1719.9650345585137</v>
      </c>
      <c r="F16" s="56" cm="1">
        <f t="array" ref="F16">IF(OR($A16&lt;=F$11,F$11&gt;=$B$5),NA(),(SUMPRODUCT('DCF Valuation'!$B$14:$F$14,1/(1+$A16)^'DCF Valuation'!$B$15:$F$15)+$B$8*(1+F$11)*(1-F$11/$B$5)/($A16-F$11)/(1+$A16)^'DCF Valuation'!$F$15+$B$6)/$B$7)</f>
        <v>1798.4454179845343</v>
      </c>
      <c r="G16" s="2"/>
      <c r="H16" s="2"/>
    </row>
    <row r="17" spans="1:8" x14ac:dyDescent="0.2">
      <c r="A17" s="2"/>
      <c r="B17" s="2"/>
      <c r="C17" s="2"/>
      <c r="D17" s="2"/>
      <c r="E17" s="2"/>
      <c r="F17" s="2"/>
      <c r="G17" s="2"/>
      <c r="H17" s="2"/>
    </row>
    <row r="18" spans="1:8" ht="31" x14ac:dyDescent="0.2">
      <c r="A18" s="5" t="s">
        <v>324</v>
      </c>
      <c r="B18" s="58">
        <f>D14-'DCF Valuation'!B47</f>
        <v>0</v>
      </c>
      <c r="C18" s="2"/>
      <c r="D18" s="2"/>
      <c r="E18" s="2"/>
      <c r="F18" s="2"/>
      <c r="G18" s="2"/>
      <c r="H18" s="2"/>
    </row>
    <row r="19" spans="1:8" x14ac:dyDescent="0.2">
      <c r="A19" s="2"/>
      <c r="B19" s="2"/>
      <c r="C19" s="2"/>
      <c r="D19" s="2"/>
      <c r="E19" s="2"/>
      <c r="F19" s="2"/>
      <c r="G19" s="2"/>
      <c r="H19" s="2"/>
    </row>
    <row r="20" spans="1:8" x14ac:dyDescent="0.2">
      <c r="A20" s="2" t="s">
        <v>320</v>
      </c>
      <c r="B20" s="2" t="s">
        <v>325</v>
      </c>
      <c r="C20" s="2"/>
      <c r="D20" s="2"/>
      <c r="E20" s="2"/>
      <c r="F20" s="2"/>
      <c r="G20" s="2"/>
      <c r="H20" s="2"/>
    </row>
    <row r="21" spans="1:8" x14ac:dyDescent="0.2">
      <c r="A21" s="55">
        <v>0.1</v>
      </c>
      <c r="B21" s="56">
        <f>IF(OR($B$3&lt;=$B$4,A21&lt;=$B$4),NA(),('DCF Valuation'!$B$29+$B$8*(1+$B$4)*(1-$B$4/A21)/($B$3-$B$4)/(1+$B$3)^'DCF Valuation'!$F$15+$B$6)/$B$7)</f>
        <v>1789.833430988054</v>
      </c>
      <c r="C21" s="2"/>
      <c r="D21" s="2"/>
      <c r="E21" s="2"/>
      <c r="F21" s="2"/>
      <c r="G21" s="2"/>
      <c r="H21" s="2"/>
    </row>
    <row r="22" spans="1:8" x14ac:dyDescent="0.2">
      <c r="A22" s="55">
        <v>0.125</v>
      </c>
      <c r="B22" s="56">
        <f>IF(OR($B$3&lt;=$B$4,A22&lt;=$B$4),NA(),('DCF Valuation'!$B$29+$B$8*(1+$B$4)*(1-$B$4/A22)/($B$3-$B$4)/(1+$B$3)^'DCF Valuation'!$F$15+$B$6)/$B$7)</f>
        <v>1913.1368886307837</v>
      </c>
      <c r="C22" s="2"/>
      <c r="D22" s="2"/>
      <c r="E22" s="2"/>
      <c r="F22" s="2"/>
      <c r="G22" s="2"/>
      <c r="H22" s="2"/>
    </row>
    <row r="23" spans="1:8" x14ac:dyDescent="0.2">
      <c r="A23" s="55">
        <v>0.15</v>
      </c>
      <c r="B23" s="56">
        <f>IF(OR($B$3&lt;=$B$4,A23&lt;=$B$4),NA(),('DCF Valuation'!$B$29+$B$8*(1+$B$4)*(1-$B$4/A23)/($B$3-$B$4)/(1+$B$3)^'DCF Valuation'!$F$15+$B$6)/$B$7)</f>
        <v>1995.3391937259366</v>
      </c>
      <c r="C23" s="2"/>
      <c r="D23" s="2"/>
      <c r="E23" s="2"/>
      <c r="F23" s="2"/>
      <c r="G23" s="2"/>
      <c r="H23" s="2"/>
    </row>
    <row r="24" spans="1:8" x14ac:dyDescent="0.2">
      <c r="A24" s="55">
        <v>0.17499999999999999</v>
      </c>
      <c r="B24" s="56">
        <f>IF(OR($B$3&lt;=$B$4,A24&lt;=$B$4),NA(),('DCF Valuation'!$B$29+$B$8*(1+$B$4)*(1-$B$4/A24)/($B$3-$B$4)/(1+$B$3)^'DCF Valuation'!$F$15+$B$6)/$B$7)</f>
        <v>2054.0551259367603</v>
      </c>
      <c r="C24" s="2"/>
      <c r="D24" s="2"/>
      <c r="E24" s="2"/>
      <c r="F24" s="2"/>
      <c r="G24" s="2"/>
      <c r="H24" s="2"/>
    </row>
    <row r="25" spans="1:8" x14ac:dyDescent="0.2">
      <c r="A25" s="55">
        <v>0.2</v>
      </c>
      <c r="B25" s="56">
        <f>IF(OR($B$3&lt;=$B$4,A25&lt;=$B$4),NA(),('DCF Valuation'!$B$29+$B$8*(1+$B$4)*(1-$B$4/A25)/($B$3-$B$4)/(1+$B$3)^'DCF Valuation'!$F$15+$B$6)/$B$7)</f>
        <v>2098.0920750948781</v>
      </c>
      <c r="C25" s="2"/>
      <c r="D25" s="2"/>
      <c r="E25" s="2"/>
      <c r="F25" s="2"/>
      <c r="G25" s="2"/>
      <c r="H25" s="2"/>
    </row>
    <row r="26" spans="1:8" x14ac:dyDescent="0.2">
      <c r="A26" s="2"/>
      <c r="B26" s="2"/>
      <c r="C26" s="2"/>
      <c r="D26" s="2"/>
      <c r="E26" s="2"/>
      <c r="F26" s="2"/>
      <c r="G26" s="2"/>
      <c r="H26" s="2"/>
    </row>
    <row r="27" spans="1:8" x14ac:dyDescent="0.2">
      <c r="A27" s="2"/>
      <c r="B27" s="2"/>
      <c r="C27" s="2"/>
      <c r="D27" s="2"/>
      <c r="E27" s="2"/>
      <c r="F27" s="2"/>
      <c r="G27" s="2"/>
      <c r="H27" s="2"/>
    </row>
    <row r="28" spans="1:8" x14ac:dyDescent="0.2">
      <c r="A28" s="2"/>
      <c r="B28" s="2"/>
      <c r="C28" s="2"/>
      <c r="D28" s="2"/>
      <c r="E28" s="2"/>
      <c r="F28" s="2"/>
      <c r="G28" s="2"/>
      <c r="H28" s="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03DAF-AEE4-3F4F-9B71-629840AD9A42}">
  <dimension ref="A1:B87"/>
  <sheetViews>
    <sheetView workbookViewId="0">
      <selection activeCell="E10" sqref="E10"/>
    </sheetView>
  </sheetViews>
  <sheetFormatPr baseColWidth="10" defaultRowHeight="16" x14ac:dyDescent="0.2"/>
  <cols>
    <col min="1" max="1" width="40.83203125" customWidth="1"/>
    <col min="2" max="2" width="33.6640625" customWidth="1"/>
  </cols>
  <sheetData>
    <row r="1" spans="1:2" x14ac:dyDescent="0.2">
      <c r="A1" s="5" t="s">
        <v>326</v>
      </c>
      <c r="B1" s="5"/>
    </row>
    <row r="2" spans="1:2" ht="31" x14ac:dyDescent="0.2">
      <c r="A2" s="5" t="s">
        <v>327</v>
      </c>
      <c r="B2" s="5"/>
    </row>
    <row r="3" spans="1:2" x14ac:dyDescent="0.2">
      <c r="A3" s="5" t="s">
        <v>328</v>
      </c>
      <c r="B3" s="5" t="s">
        <v>329</v>
      </c>
    </row>
    <row r="4" spans="1:2" x14ac:dyDescent="0.2">
      <c r="A4" s="5" t="s">
        <v>330</v>
      </c>
      <c r="B4" s="5" t="str" cm="1">
        <f t="array" ref="B4">IF(SUMPRODUCT(ABS('Historical Financials'!B42:D42))&lt;0.001,"PASS","FAIL")</f>
        <v>PASS</v>
      </c>
    </row>
    <row r="5" spans="1:2" x14ac:dyDescent="0.2">
      <c r="A5" s="5" t="s">
        <v>331</v>
      </c>
      <c r="B5" s="5" t="str" cm="1">
        <f t="array" ref="B5">IF(SUMPRODUCT(ABS('Historical Financials'!B20:D20))&lt;0.001,"PASS","FAIL")</f>
        <v>PASS</v>
      </c>
    </row>
    <row r="6" spans="1:2" x14ac:dyDescent="0.2">
      <c r="A6" s="5" t="s">
        <v>332</v>
      </c>
      <c r="B6" s="5" t="str">
        <f>IF(COUNT('Operating Forecast'!E25:I25)=5,"PASS","FAIL")</f>
        <v>PASS</v>
      </c>
    </row>
    <row r="7" spans="1:2" x14ac:dyDescent="0.2">
      <c r="A7" s="5" t="s">
        <v>333</v>
      </c>
      <c r="B7" s="5" t="str" cm="1">
        <f t="array" ref="B7">IF(SUMPRODUCT(ABS('Operating Forecast'!E25:I25-('Operating Forecast'!E18:I18+'Operating Forecast'!E21:I21-'Operating Forecast'!E22:I22-'Operating Forecast'!E24:I24-'Operating Forecast'!E26:I26)))&lt;0.001,"PASS","FAIL")</f>
        <v>PASS</v>
      </c>
    </row>
    <row r="8" spans="1:2" x14ac:dyDescent="0.2">
      <c r="A8" s="5" t="s">
        <v>334</v>
      </c>
      <c r="B8" s="5" t="str">
        <f>IF(AND(COUNT(WACC!B19:B20)=2,ABS(SUM(WACC!B19:B20)-1)&lt;0.000001),"PASS","FAIL")</f>
        <v>PASS</v>
      </c>
    </row>
    <row r="9" spans="1:2" x14ac:dyDescent="0.2">
      <c r="A9" s="5" t="s">
        <v>335</v>
      </c>
      <c r="B9" s="5" t="str">
        <f>IF('DCF Valuation'!B5&gt;'DCF Valuation'!B6,"PASS","FAIL")</f>
        <v>PASS</v>
      </c>
    </row>
    <row r="10" spans="1:2" x14ac:dyDescent="0.2">
      <c r="A10" s="5" t="s">
        <v>336</v>
      </c>
      <c r="B10" s="5" t="str">
        <f>IF(AND(ISNUMBER('DCF Valuation'!B46),'DCF Valuation'!B46&gt;0),"PASS","FAIL")</f>
        <v>PASS</v>
      </c>
    </row>
    <row r="11" spans="1:2" x14ac:dyDescent="0.2">
      <c r="A11" s="5" t="s">
        <v>337</v>
      </c>
      <c r="B11" s="5" t="str">
        <f>IF(ABS('Sensitivity Analysis'!D14-'DCF Valuation'!B47)&lt;0.000001,"PASS","FAIL")</f>
        <v>PASS</v>
      </c>
    </row>
    <row r="12" spans="1:2" x14ac:dyDescent="0.2">
      <c r="A12" s="5" t="s">
        <v>338</v>
      </c>
      <c r="B12" s="5" t="str">
        <f>IF(COUNT('Sensitivity Analysis'!B12:F16)=25,"PASS","FAIL")</f>
        <v>PASS</v>
      </c>
    </row>
    <row r="13" spans="1:2" x14ac:dyDescent="0.2">
      <c r="A13" s="5" t="s">
        <v>339</v>
      </c>
      <c r="B13" s="5" t="str">
        <f>IF(COUNTIF('Sensitivity Analysis'!$A$21:$A$25,'DCF Valuation'!$B$7)=0,"REVIEW — Base ROIC not in grid",IF(ABS(INDEX('Sensitivity Analysis'!$B$21:$B$25,MATCH('DCF Valuation'!$B$7,'Sensitivity Analysis'!$A$21:$A$25,0))-'DCF Valuation'!$B$47)&lt;0.000001,"PASS","FAIL"))</f>
        <v>PASS</v>
      </c>
    </row>
    <row r="14" spans="1:2" x14ac:dyDescent="0.2">
      <c r="A14" s="5" t="s">
        <v>340</v>
      </c>
      <c r="B14" s="5" t="str">
        <f>IF('DCF Valuation'!B31&gt;80%,"REVIEW — High terminal dependence","REVIEW — Assess terminal assumptions")</f>
        <v>REVIEW — High terminal dependence</v>
      </c>
    </row>
    <row r="15" spans="1:2" x14ac:dyDescent="0.2">
      <c r="A15" s="5" t="s">
        <v>341</v>
      </c>
      <c r="B15" s="5" t="str">
        <f>IF('DCF Valuation'!B4=WACC!B42,"PASS","FAIL")</f>
        <v>PASS</v>
      </c>
    </row>
    <row r="16" spans="1:2" x14ac:dyDescent="0.2">
      <c r="A16" s="5" t="s">
        <v>342</v>
      </c>
      <c r="B16" s="5" t="str" cm="1">
        <f t="array" ref="B16">IF(SUMPRODUCT(--ISERROR('Operating Forecast'!E7:I28))=0,"PASS","FAIL")</f>
        <v>PASS</v>
      </c>
    </row>
    <row r="17" spans="1:2" x14ac:dyDescent="0.2">
      <c r="A17" s="2"/>
      <c r="B17" s="2"/>
    </row>
    <row r="18" spans="1:2" x14ac:dyDescent="0.2">
      <c r="A18" s="2"/>
      <c r="B18" s="2"/>
    </row>
    <row r="19" spans="1:2" x14ac:dyDescent="0.2">
      <c r="A19" s="2"/>
      <c r="B19" s="2"/>
    </row>
    <row r="20" spans="1:2" x14ac:dyDescent="0.2">
      <c r="A20" s="5" t="s">
        <v>343</v>
      </c>
      <c r="B20" s="5" t="s">
        <v>344</v>
      </c>
    </row>
    <row r="21" spans="1:2" ht="31" x14ac:dyDescent="0.2">
      <c r="A21" s="5" t="s">
        <v>345</v>
      </c>
      <c r="B21" s="5" t="s">
        <v>346</v>
      </c>
    </row>
    <row r="22" spans="1:2" ht="31" x14ac:dyDescent="0.2">
      <c r="A22" s="5" t="s">
        <v>347</v>
      </c>
      <c r="B22" s="5" t="s">
        <v>348</v>
      </c>
    </row>
    <row r="23" spans="1:2" ht="31" x14ac:dyDescent="0.2">
      <c r="A23" s="5" t="s">
        <v>349</v>
      </c>
      <c r="B23" s="5" t="s">
        <v>350</v>
      </c>
    </row>
    <row r="24" spans="1:2" ht="31" x14ac:dyDescent="0.2">
      <c r="A24" s="5" t="s">
        <v>351</v>
      </c>
      <c r="B24" s="5" t="s">
        <v>352</v>
      </c>
    </row>
    <row r="25" spans="1:2" ht="31" x14ac:dyDescent="0.2">
      <c r="A25" s="5" t="s">
        <v>353</v>
      </c>
      <c r="B25" s="5" t="s">
        <v>354</v>
      </c>
    </row>
    <row r="26" spans="1:2" ht="31" x14ac:dyDescent="0.2">
      <c r="A26" s="5" t="s">
        <v>355</v>
      </c>
      <c r="B26" s="5" t="s">
        <v>356</v>
      </c>
    </row>
    <row r="27" spans="1:2" ht="31" x14ac:dyDescent="0.2">
      <c r="A27" s="5" t="s">
        <v>357</v>
      </c>
      <c r="B27" s="5" t="s">
        <v>358</v>
      </c>
    </row>
    <row r="28" spans="1:2" x14ac:dyDescent="0.2">
      <c r="A28" s="2"/>
      <c r="B28" s="2"/>
    </row>
    <row r="29" spans="1:2" x14ac:dyDescent="0.2">
      <c r="A29" s="2"/>
      <c r="B29" s="2"/>
    </row>
    <row r="30" spans="1:2" x14ac:dyDescent="0.2">
      <c r="A30" s="2"/>
      <c r="B30" s="2"/>
    </row>
    <row r="31" spans="1:2" x14ac:dyDescent="0.2">
      <c r="A31" s="2"/>
      <c r="B31" s="2"/>
    </row>
    <row r="32" spans="1:2" x14ac:dyDescent="0.2">
      <c r="A32" s="2"/>
      <c r="B32" s="2"/>
    </row>
    <row r="33" spans="1:2" x14ac:dyDescent="0.2">
      <c r="A33" s="2"/>
      <c r="B33" s="2"/>
    </row>
    <row r="34" spans="1:2" x14ac:dyDescent="0.2">
      <c r="A34" s="2"/>
      <c r="B34" s="2"/>
    </row>
    <row r="35" spans="1:2" x14ac:dyDescent="0.2">
      <c r="A35" s="2"/>
      <c r="B35" s="2"/>
    </row>
    <row r="36" spans="1:2" x14ac:dyDescent="0.2">
      <c r="A36" s="2"/>
      <c r="B36" s="2"/>
    </row>
    <row r="37" spans="1:2" x14ac:dyDescent="0.2">
      <c r="A37" s="2"/>
      <c r="B37" s="2"/>
    </row>
    <row r="38" spans="1:2" x14ac:dyDescent="0.2">
      <c r="A38" s="2"/>
      <c r="B38" s="2"/>
    </row>
    <row r="39" spans="1:2" x14ac:dyDescent="0.2">
      <c r="A39" s="2"/>
      <c r="B39" s="2"/>
    </row>
    <row r="40" spans="1:2" x14ac:dyDescent="0.2">
      <c r="A40" s="2"/>
      <c r="B40" s="2"/>
    </row>
    <row r="41" spans="1:2" x14ac:dyDescent="0.2">
      <c r="A41" s="2"/>
      <c r="B41" s="2"/>
    </row>
    <row r="42" spans="1:2" x14ac:dyDescent="0.2">
      <c r="A42" s="2"/>
      <c r="B42" s="2"/>
    </row>
    <row r="43" spans="1:2" x14ac:dyDescent="0.2">
      <c r="A43" s="2"/>
      <c r="B43" s="2"/>
    </row>
    <row r="44" spans="1:2" x14ac:dyDescent="0.2">
      <c r="A44" s="2"/>
      <c r="B44" s="2"/>
    </row>
    <row r="45" spans="1:2" x14ac:dyDescent="0.2">
      <c r="A45" s="2"/>
      <c r="B45" s="2"/>
    </row>
    <row r="46" spans="1:2" x14ac:dyDescent="0.2">
      <c r="A46" s="2"/>
      <c r="B46" s="2"/>
    </row>
    <row r="47" spans="1:2" x14ac:dyDescent="0.2">
      <c r="A47" s="2"/>
      <c r="B47" s="2"/>
    </row>
    <row r="48" spans="1:2" x14ac:dyDescent="0.2">
      <c r="A48" s="2"/>
      <c r="B48" s="2"/>
    </row>
    <row r="49" spans="1:2" x14ac:dyDescent="0.2">
      <c r="A49" s="2"/>
      <c r="B49" s="2"/>
    </row>
    <row r="50" spans="1:2" x14ac:dyDescent="0.2">
      <c r="A50" s="2"/>
      <c r="B50" s="2"/>
    </row>
    <row r="51" spans="1:2" x14ac:dyDescent="0.2">
      <c r="A51" s="2"/>
      <c r="B51" s="2"/>
    </row>
    <row r="52" spans="1:2" x14ac:dyDescent="0.2">
      <c r="A52" s="2"/>
      <c r="B52" s="2"/>
    </row>
    <row r="53" spans="1:2" x14ac:dyDescent="0.2">
      <c r="A53" s="2"/>
      <c r="B53" s="2"/>
    </row>
    <row r="54" spans="1:2" x14ac:dyDescent="0.2">
      <c r="A54" s="2"/>
      <c r="B54" s="2"/>
    </row>
    <row r="55" spans="1:2" x14ac:dyDescent="0.2">
      <c r="A55" s="2"/>
      <c r="B55" s="2"/>
    </row>
    <row r="56" spans="1:2" x14ac:dyDescent="0.2">
      <c r="A56" s="2"/>
      <c r="B56" s="2"/>
    </row>
    <row r="57" spans="1:2" x14ac:dyDescent="0.2">
      <c r="A57" s="2"/>
      <c r="B57" s="2"/>
    </row>
    <row r="58" spans="1:2" x14ac:dyDescent="0.2">
      <c r="A58" s="2"/>
      <c r="B58" s="2"/>
    </row>
    <row r="59" spans="1:2" x14ac:dyDescent="0.2">
      <c r="A59" s="2"/>
      <c r="B59" s="2"/>
    </row>
    <row r="60" spans="1:2" x14ac:dyDescent="0.2">
      <c r="A60" s="2"/>
      <c r="B60" s="2"/>
    </row>
    <row r="61" spans="1:2" x14ac:dyDescent="0.2">
      <c r="A61" s="2"/>
      <c r="B61" s="2"/>
    </row>
    <row r="62" spans="1:2" x14ac:dyDescent="0.2">
      <c r="A62" s="2"/>
      <c r="B62" s="2"/>
    </row>
    <row r="63" spans="1:2" x14ac:dyDescent="0.2">
      <c r="A63" s="2"/>
      <c r="B63" s="2"/>
    </row>
    <row r="64" spans="1:2"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2"/>
      <c r="B74" s="2"/>
    </row>
    <row r="75" spans="1:2" x14ac:dyDescent="0.2">
      <c r="A75" s="2"/>
      <c r="B75" s="2"/>
    </row>
    <row r="76" spans="1:2" x14ac:dyDescent="0.2">
      <c r="A76" s="2"/>
      <c r="B76" s="2"/>
    </row>
    <row r="77" spans="1:2" x14ac:dyDescent="0.2">
      <c r="A77" s="2"/>
      <c r="B77" s="2"/>
    </row>
    <row r="78" spans="1:2" x14ac:dyDescent="0.2">
      <c r="A78" s="2"/>
      <c r="B78" s="2"/>
    </row>
    <row r="79" spans="1:2" x14ac:dyDescent="0.2">
      <c r="A79" s="2"/>
      <c r="B79" s="2"/>
    </row>
    <row r="80" spans="1:2" x14ac:dyDescent="0.2">
      <c r="A80" s="2"/>
      <c r="B80" s="2"/>
    </row>
    <row r="81" spans="1:2" x14ac:dyDescent="0.2">
      <c r="A81" s="2"/>
      <c r="B81" s="2"/>
    </row>
    <row r="82" spans="1:2" x14ac:dyDescent="0.2">
      <c r="A82" s="2"/>
      <c r="B82" s="2"/>
    </row>
    <row r="83" spans="1:2" x14ac:dyDescent="0.2">
      <c r="A83" s="2"/>
      <c r="B83" s="2"/>
    </row>
    <row r="84" spans="1:2" x14ac:dyDescent="0.2">
      <c r="A84" s="2"/>
      <c r="B84" s="2"/>
    </row>
    <row r="85" spans="1:2" x14ac:dyDescent="0.2">
      <c r="A85" s="2"/>
      <c r="B85" s="2"/>
    </row>
    <row r="86" spans="1:2" x14ac:dyDescent="0.2">
      <c r="A86" s="2"/>
      <c r="B86" s="2"/>
    </row>
    <row r="87" spans="1:2" x14ac:dyDescent="0.2">
      <c r="A87" s="2"/>
      <c r="B87" s="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A1968-41A6-CC4D-947C-AA050740F88E}">
  <dimension ref="A1:C33"/>
  <sheetViews>
    <sheetView workbookViewId="0">
      <selection activeCell="B29" sqref="B29"/>
    </sheetView>
  </sheetViews>
  <sheetFormatPr baseColWidth="10" defaultRowHeight="16" x14ac:dyDescent="0.2"/>
  <cols>
    <col min="1" max="1" width="49.6640625" customWidth="1"/>
    <col min="2" max="2" width="37.83203125" customWidth="1"/>
    <col min="3" max="3" width="15" customWidth="1"/>
  </cols>
  <sheetData>
    <row r="1" spans="1:2" x14ac:dyDescent="0.2">
      <c r="A1" s="5" t="s">
        <v>359</v>
      </c>
      <c r="B1" s="5"/>
    </row>
    <row r="2" spans="1:2" x14ac:dyDescent="0.2">
      <c r="A2" s="5" t="s">
        <v>360</v>
      </c>
      <c r="B2" s="5"/>
    </row>
    <row r="3" spans="1:2" x14ac:dyDescent="0.2">
      <c r="A3" s="5" t="s">
        <v>361</v>
      </c>
      <c r="B3" s="5" t="s">
        <v>218</v>
      </c>
    </row>
    <row r="4" spans="1:2" x14ac:dyDescent="0.2">
      <c r="A4" s="5" t="s">
        <v>6</v>
      </c>
      <c r="B4" s="44">
        <f>'DCF Valuation'!B4</f>
        <v>46080</v>
      </c>
    </row>
    <row r="5" spans="1:2" x14ac:dyDescent="0.2">
      <c r="A5" s="5" t="s">
        <v>234</v>
      </c>
      <c r="B5" s="45">
        <f>'DCF Valuation'!B5</f>
        <v>8.013210595096891E-2</v>
      </c>
    </row>
    <row r="6" spans="1:2" x14ac:dyDescent="0.2">
      <c r="A6" s="5" t="s">
        <v>362</v>
      </c>
      <c r="B6" s="45">
        <f>'DCF Valuation'!B6</f>
        <v>0.03</v>
      </c>
    </row>
    <row r="7" spans="1:2" x14ac:dyDescent="0.2">
      <c r="A7" s="5" t="s">
        <v>320</v>
      </c>
      <c r="B7" s="45">
        <f>'DCF Valuation'!B7</f>
        <v>0.15</v>
      </c>
    </row>
    <row r="8" spans="1:2" x14ac:dyDescent="0.2">
      <c r="A8" s="5" t="s">
        <v>363</v>
      </c>
      <c r="B8" s="27">
        <f>'DCF Valuation'!B30</f>
        <v>49983367.481878504</v>
      </c>
    </row>
    <row r="9" spans="1:2" x14ac:dyDescent="0.2">
      <c r="A9" s="5" t="s">
        <v>364</v>
      </c>
      <c r="B9" s="27">
        <f>'DCF Valuation'!B45</f>
        <v>51744181.529438503</v>
      </c>
    </row>
    <row r="10" spans="1:2" x14ac:dyDescent="0.2">
      <c r="A10" s="5" t="s">
        <v>307</v>
      </c>
      <c r="B10" s="27">
        <f>'DCF Valuation'!B46</f>
        <v>25932.524000000001</v>
      </c>
    </row>
    <row r="11" spans="1:2" x14ac:dyDescent="0.2">
      <c r="A11" s="52" t="s">
        <v>365</v>
      </c>
      <c r="B11" s="53">
        <f>'DCF Valuation'!B47</f>
        <v>1995.3391937259366</v>
      </c>
    </row>
    <row r="12" spans="1:2" x14ac:dyDescent="0.2">
      <c r="A12" s="5" t="s">
        <v>366</v>
      </c>
      <c r="B12" s="27">
        <f>'DCF Valuation'!B48</f>
        <v>1995</v>
      </c>
    </row>
    <row r="13" spans="1:2" x14ac:dyDescent="0.2">
      <c r="A13" s="5" t="s">
        <v>310</v>
      </c>
      <c r="B13" s="45">
        <f>'DCF Valuation'!B49</f>
        <v>1.7002191776271935E-4</v>
      </c>
    </row>
    <row r="14" spans="1:2" x14ac:dyDescent="0.2">
      <c r="A14" s="5" t="s">
        <v>289</v>
      </c>
      <c r="B14" s="45">
        <f>'DCF Valuation'!B31</f>
        <v>0.85296904035456778</v>
      </c>
    </row>
    <row r="17" spans="1:3" x14ac:dyDescent="0.2">
      <c r="A17" s="2" t="s">
        <v>367</v>
      </c>
      <c r="B17" s="2" t="s">
        <v>218</v>
      </c>
    </row>
    <row r="18" spans="1:3" x14ac:dyDescent="0.2">
      <c r="A18" s="2" t="s">
        <v>368</v>
      </c>
      <c r="B18" s="56">
        <f>'Operating Forecast'!I25</f>
        <v>2681641.3458785983</v>
      </c>
    </row>
    <row r="19" spans="1:3" x14ac:dyDescent="0.2">
      <c r="A19" s="2" t="s">
        <v>369</v>
      </c>
      <c r="B19" s="56">
        <f>'DCF Valuation'!B25</f>
        <v>3104782.7005429752</v>
      </c>
    </row>
    <row r="20" spans="1:3" x14ac:dyDescent="0.2">
      <c r="A20" s="2" t="s">
        <v>370</v>
      </c>
      <c r="B20" s="55">
        <f>B19/B18-1</f>
        <v>0.15779192669247166</v>
      </c>
    </row>
    <row r="22" spans="1:3" x14ac:dyDescent="0.2">
      <c r="A22" t="s">
        <v>371</v>
      </c>
      <c r="B22" t="s">
        <v>190</v>
      </c>
      <c r="C22" t="s">
        <v>372</v>
      </c>
    </row>
    <row r="23" spans="1:3" x14ac:dyDescent="0.2">
      <c r="A23" t="s">
        <v>196</v>
      </c>
      <c r="B23" s="28">
        <f>'Operating Forecast'!I18</f>
        <v>3767940.1705618631</v>
      </c>
      <c r="C23" s="28">
        <f>'DCF Valuation'!B22</f>
        <v>3880978.375678719</v>
      </c>
    </row>
    <row r="24" spans="1:3" x14ac:dyDescent="0.2">
      <c r="A24" t="s">
        <v>373</v>
      </c>
      <c r="B24" s="28">
        <f>B23-B18</f>
        <v>1086298.8246832648</v>
      </c>
      <c r="C24" s="28">
        <f>'DCF Valuation'!B24</f>
        <v>776195.6751357438</v>
      </c>
    </row>
    <row r="25" spans="1:3" x14ac:dyDescent="0.2">
      <c r="A25" t="s">
        <v>374</v>
      </c>
      <c r="B25" s="33">
        <f>B24/B23</f>
        <v>0.28830044414459993</v>
      </c>
      <c r="C25" s="33">
        <f>C24/C23</f>
        <v>0.2</v>
      </c>
    </row>
    <row r="28" spans="1:3" x14ac:dyDescent="0.2">
      <c r="A28" t="s">
        <v>375</v>
      </c>
      <c r="B28" t="s">
        <v>344</v>
      </c>
    </row>
    <row r="29" spans="1:3" ht="51" x14ac:dyDescent="0.2">
      <c r="A29" s="22" t="s">
        <v>376</v>
      </c>
      <c r="B29" s="23" t="s">
        <v>377</v>
      </c>
    </row>
    <row r="30" spans="1:3" ht="51" x14ac:dyDescent="0.2">
      <c r="A30" s="22" t="s">
        <v>378</v>
      </c>
      <c r="B30" s="23" t="s">
        <v>379</v>
      </c>
    </row>
    <row r="31" spans="1:3" ht="51" x14ac:dyDescent="0.2">
      <c r="A31" s="22" t="s">
        <v>380</v>
      </c>
      <c r="B31" s="23" t="s">
        <v>381</v>
      </c>
    </row>
    <row r="32" spans="1:3" ht="51" x14ac:dyDescent="0.2">
      <c r="A32" s="22" t="s">
        <v>382</v>
      </c>
      <c r="B32" s="23" t="s">
        <v>383</v>
      </c>
    </row>
    <row r="33" spans="1:2" ht="51" x14ac:dyDescent="0.2">
      <c r="A33" s="22" t="s">
        <v>384</v>
      </c>
      <c r="B33" s="23" t="s">
        <v>385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Assumptions &amp; Sources</vt:lpstr>
      <vt:lpstr>Historical Financials</vt:lpstr>
      <vt:lpstr>Operating Forecast</vt:lpstr>
      <vt:lpstr>WACC</vt:lpstr>
      <vt:lpstr>DCF Valuation</vt:lpstr>
      <vt:lpstr>Sensitivity Analysis</vt:lpstr>
      <vt:lpstr>Model Audit</vt:lpstr>
      <vt:lpstr>Dashboard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Zhang</dc:creator>
  <cp:lastModifiedBy>Eva Zhang</cp:lastModifiedBy>
  <dcterms:created xsi:type="dcterms:W3CDTF">2026-10-18T15:04:34Z</dcterms:created>
  <dcterms:modified xsi:type="dcterms:W3CDTF">2026-10-18T19:47:49Z</dcterms:modified>
</cp:coreProperties>
</file>